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jademcclain/Downloads/"/>
    </mc:Choice>
  </mc:AlternateContent>
  <xr:revisionPtr revIDLastSave="0" documentId="8_{D4052698-8FBC-EA43-B2F6-87210A4857E5}" xr6:coauthVersionLast="47" xr6:coauthVersionMax="47" xr10:uidLastSave="{00000000-0000-0000-0000-000000000000}"/>
  <bookViews>
    <workbookView xWindow="0" yWindow="740" windowWidth="29400" windowHeight="16680" xr2:uid="{00000000-000D-0000-FFFF-FFFF00000000}"/>
  </bookViews>
  <sheets>
    <sheet name="Articles"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4131" i="2" l="1"/>
  <c r="B3911" i="2"/>
  <c r="B3022" i="2"/>
  <c r="B3045" i="2"/>
  <c r="B2864" i="2"/>
  <c r="B1561" i="2"/>
  <c r="B1240" i="2"/>
  <c r="B1804" i="2"/>
  <c r="B1887" i="2"/>
  <c r="B946" i="2"/>
  <c r="B1017" i="2"/>
  <c r="B3596" i="2"/>
  <c r="B3350" i="2"/>
  <c r="B3117" i="2"/>
  <c r="B1766" i="2"/>
  <c r="B1459" i="2"/>
  <c r="B228" i="2"/>
  <c r="B4144" i="2"/>
  <c r="B3453" i="2"/>
  <c r="B3669" i="2"/>
  <c r="B2494" i="2"/>
  <c r="B2272" i="2"/>
  <c r="B1947" i="2"/>
  <c r="B1567" i="2"/>
  <c r="B172" i="2"/>
  <c r="B369" i="2"/>
  <c r="B4147" i="2"/>
  <c r="B4150" i="2"/>
  <c r="B2637" i="2"/>
  <c r="B1935" i="2"/>
  <c r="B41" i="2"/>
  <c r="B4138" i="2"/>
  <c r="B4126" i="2"/>
  <c r="B3052" i="2"/>
  <c r="B1650" i="2"/>
  <c r="B1514" i="2"/>
  <c r="B1566" i="2"/>
  <c r="B833" i="2"/>
  <c r="B2654" i="2"/>
  <c r="B3086" i="2"/>
  <c r="B3047" i="2"/>
  <c r="B3017" i="2"/>
  <c r="B2632" i="2"/>
  <c r="B1750" i="2"/>
  <c r="B2447" i="2"/>
  <c r="B2133" i="2"/>
  <c r="B3483" i="2"/>
  <c r="B2640" i="2"/>
  <c r="B2524" i="2"/>
  <c r="B1965" i="2"/>
  <c r="B375" i="2"/>
  <c r="B4156" i="2"/>
  <c r="B1920" i="2"/>
  <c r="B1232" i="2"/>
  <c r="B1610" i="2"/>
  <c r="B366" i="2"/>
  <c r="B3063" i="2"/>
  <c r="B1822" i="2"/>
  <c r="B1225" i="2"/>
  <c r="B2948" i="2"/>
  <c r="B2771" i="2"/>
  <c r="B3524" i="2"/>
  <c r="B1949" i="2"/>
  <c r="B2091" i="2"/>
  <c r="B983" i="2"/>
  <c r="B987" i="2"/>
  <c r="B739" i="2"/>
  <c r="B122" i="2"/>
  <c r="B3923" i="2"/>
  <c r="B2485" i="2"/>
  <c r="B2115" i="2"/>
  <c r="B2128" i="2"/>
  <c r="B1912" i="2"/>
  <c r="B1565" i="2"/>
  <c r="B4155" i="2"/>
  <c r="B2618" i="2"/>
  <c r="B1700" i="2"/>
  <c r="B1512" i="2"/>
  <c r="B1913" i="2"/>
  <c r="B1081" i="2"/>
  <c r="B3260" i="2"/>
  <c r="B3828" i="2"/>
  <c r="B3152" i="2"/>
  <c r="B2238" i="2"/>
  <c r="B2292" i="2"/>
  <c r="B1878" i="2"/>
  <c r="B2100" i="2"/>
  <c r="B25" i="2"/>
  <c r="B1782" i="2"/>
  <c r="B989" i="2"/>
  <c r="B2821" i="2"/>
  <c r="B817" i="2"/>
  <c r="B777" i="2"/>
  <c r="B877" i="2"/>
  <c r="B84" i="2"/>
  <c r="B354" i="2"/>
  <c r="B3910" i="2"/>
  <c r="B2857" i="2"/>
  <c r="B2242" i="2"/>
  <c r="B2609" i="2"/>
  <c r="B1985" i="2"/>
  <c r="B1377" i="2"/>
  <c r="B1003" i="2"/>
  <c r="B1187" i="2"/>
  <c r="B536" i="2"/>
  <c r="B3484" i="2"/>
  <c r="B3783" i="2"/>
  <c r="B799" i="2"/>
  <c r="B708" i="2"/>
  <c r="B1238" i="2"/>
  <c r="B3799" i="2"/>
  <c r="B2839" i="2"/>
  <c r="B1223" i="2"/>
  <c r="B1527" i="2"/>
  <c r="B888" i="2"/>
  <c r="B698" i="2"/>
  <c r="B956" i="2"/>
  <c r="B2757" i="2"/>
  <c r="B3008" i="2"/>
  <c r="B1532" i="2"/>
  <c r="B449" i="2"/>
  <c r="B3786" i="2"/>
  <c r="B3464" i="2"/>
  <c r="B2991" i="2"/>
  <c r="B2856" i="2"/>
  <c r="B2169" i="2"/>
  <c r="B1969" i="2"/>
  <c r="B1941" i="2"/>
  <c r="B48" i="2"/>
  <c r="B91" i="2"/>
  <c r="B2777" i="2"/>
  <c r="B2289" i="2"/>
  <c r="B2232" i="2"/>
  <c r="B1080" i="2"/>
  <c r="B1079" i="2"/>
  <c r="B3068" i="2"/>
  <c r="B3077" i="2"/>
  <c r="B2677" i="2"/>
  <c r="B2610" i="2"/>
  <c r="B723" i="2"/>
  <c r="B333" i="2"/>
  <c r="B3648" i="2"/>
  <c r="B3129" i="2"/>
  <c r="B4098" i="2"/>
  <c r="B2974" i="2"/>
  <c r="B2493" i="2"/>
  <c r="B2457" i="2"/>
  <c r="B1274" i="2"/>
  <c r="B1764" i="2"/>
  <c r="B1176" i="2"/>
  <c r="B880" i="2"/>
  <c r="B24" i="2"/>
  <c r="B1273" i="2"/>
  <c r="B1349" i="2"/>
  <c r="B852" i="2"/>
  <c r="B40" i="2"/>
  <c r="B4135" i="2"/>
  <c r="B3455" i="2"/>
  <c r="B3887" i="2"/>
  <c r="B2952" i="2"/>
  <c r="B2990" i="2"/>
  <c r="B2163" i="2"/>
  <c r="B2199" i="2"/>
  <c r="B1946" i="2"/>
  <c r="B898" i="2"/>
  <c r="B3876" i="2"/>
  <c r="B3061" i="2"/>
  <c r="B1525" i="2"/>
  <c r="B1735" i="2"/>
  <c r="B43" i="2"/>
  <c r="B39" i="2"/>
  <c r="B3162" i="2"/>
  <c r="B213" i="2"/>
  <c r="B38" i="2"/>
  <c r="B63" i="2"/>
  <c r="B746" i="2"/>
  <c r="B899" i="2"/>
  <c r="B2978" i="2"/>
  <c r="B3024" i="2"/>
  <c r="B2744" i="2"/>
  <c r="B2168" i="2"/>
  <c r="B853" i="2"/>
  <c r="B3161" i="2"/>
  <c r="B3471" i="2"/>
  <c r="B2542" i="2"/>
  <c r="B2088" i="2"/>
  <c r="B1950" i="2"/>
  <c r="B1902" i="2"/>
  <c r="B1836" i="2"/>
  <c r="B1002" i="2"/>
  <c r="B209" i="2"/>
  <c r="B3957" i="2"/>
  <c r="B3139" i="2"/>
  <c r="B2994" i="2"/>
  <c r="B1971" i="2"/>
  <c r="B1524" i="2"/>
  <c r="B1376" i="2"/>
  <c r="B1242" i="2"/>
  <c r="B1165" i="2"/>
  <c r="B456" i="2"/>
  <c r="B37" i="2"/>
  <c r="B90" i="2"/>
  <c r="B3782" i="2"/>
  <c r="B3866" i="2"/>
  <c r="B2986" i="2"/>
  <c r="B3091" i="2"/>
  <c r="B2816" i="2"/>
  <c r="B2167" i="2"/>
  <c r="B1800" i="2"/>
  <c r="B1939" i="2"/>
  <c r="B1521" i="2"/>
  <c r="B1507" i="2"/>
  <c r="B1606" i="2"/>
  <c r="B714" i="2"/>
  <c r="B955" i="2"/>
  <c r="B816" i="2"/>
  <c r="B866" i="2"/>
  <c r="B3785" i="2"/>
  <c r="B3150" i="2"/>
  <c r="B2605" i="2"/>
  <c r="B2122" i="2"/>
  <c r="B1746" i="2"/>
  <c r="B138" i="2"/>
  <c r="B117" i="2"/>
  <c r="B50" i="2"/>
  <c r="B773" i="2"/>
  <c r="B3888" i="2"/>
  <c r="B3945" i="2"/>
  <c r="B3013" i="2"/>
  <c r="B2633" i="2"/>
  <c r="B713" i="2"/>
  <c r="B179" i="2"/>
  <c r="B3908" i="2"/>
  <c r="B3438" i="2"/>
  <c r="B2593" i="2"/>
  <c r="B2286" i="2"/>
  <c r="B1789" i="2"/>
  <c r="B36" i="2"/>
  <c r="B116" i="2"/>
  <c r="B857" i="2"/>
  <c r="B815" i="2"/>
  <c r="B167" i="2"/>
  <c r="B3050" i="2"/>
  <c r="B2134" i="2"/>
  <c r="B2135" i="2"/>
  <c r="B1020" i="2"/>
  <c r="B1701" i="2"/>
  <c r="B448" i="2"/>
  <c r="B731" i="2"/>
  <c r="B950" i="2"/>
  <c r="B35" i="2"/>
  <c r="B3069" i="2"/>
  <c r="B3135" i="2"/>
  <c r="B2579" i="2"/>
  <c r="B1604" i="2"/>
  <c r="B822" i="2"/>
  <c r="B966" i="2"/>
  <c r="B738" i="2"/>
  <c r="B742" i="2"/>
  <c r="B3763" i="2"/>
  <c r="B4097" i="2"/>
  <c r="B1928" i="2"/>
  <c r="B1564" i="2"/>
  <c r="B699" i="2"/>
  <c r="B3467" i="2"/>
  <c r="B1872" i="2"/>
  <c r="B1805" i="2"/>
  <c r="B2241" i="2"/>
  <c r="B1776" i="2"/>
  <c r="B1531" i="2"/>
  <c r="B826" i="2"/>
  <c r="B373" i="2"/>
  <c r="B2541" i="2"/>
  <c r="B2185" i="2"/>
  <c r="B2078" i="2"/>
  <c r="B34" i="2"/>
  <c r="B2546" i="2"/>
  <c r="B100" i="2"/>
  <c r="B1844" i="2"/>
  <c r="B624" i="2"/>
  <c r="B1963" i="2"/>
  <c r="B2207" i="2"/>
  <c r="B779" i="2"/>
  <c r="B589" i="2"/>
  <c r="B1206" i="2"/>
  <c r="B2553" i="2"/>
  <c r="B1207" i="2"/>
  <c r="B1710" i="2"/>
  <c r="B1489" i="2"/>
  <c r="B1284" i="2"/>
  <c r="B202" i="2"/>
  <c r="B1968" i="2"/>
  <c r="B1924" i="2"/>
  <c r="B1084" i="2"/>
  <c r="B1520" i="2"/>
  <c r="B1645" i="2"/>
  <c r="B1848" i="2"/>
  <c r="B962" i="2"/>
  <c r="B163" i="2"/>
  <c r="B20" i="2"/>
  <c r="B2644" i="2"/>
  <c r="B3062" i="2"/>
  <c r="B2784" i="2"/>
  <c r="B2793" i="2"/>
  <c r="B2914" i="2"/>
  <c r="B2853" i="2"/>
  <c r="B2992" i="2"/>
  <c r="B2868" i="2"/>
  <c r="B2843" i="2"/>
  <c r="B2838" i="2"/>
  <c r="B2647" i="2"/>
  <c r="B2876" i="2"/>
  <c r="B3159" i="2"/>
  <c r="B3001" i="2"/>
  <c r="B2828" i="2"/>
  <c r="B3083" i="2"/>
  <c r="B3805" i="2"/>
  <c r="B3291" i="2"/>
  <c r="B4089" i="2"/>
  <c r="B4122" i="2"/>
  <c r="B4151" i="2"/>
  <c r="B3732" i="2"/>
  <c r="B2174" i="2"/>
  <c r="B2599" i="2"/>
  <c r="B2469" i="2"/>
  <c r="B2120" i="2"/>
  <c r="B1857" i="2"/>
  <c r="B2141" i="2"/>
  <c r="B85" i="2"/>
  <c r="B2837" i="2"/>
  <c r="B2745" i="2"/>
  <c r="B2765" i="2"/>
  <c r="B3054" i="2"/>
  <c r="B3811" i="2"/>
  <c r="B3019" i="2"/>
  <c r="B3101" i="2"/>
  <c r="B2985" i="2"/>
  <c r="B2915" i="2"/>
  <c r="B1490" i="2"/>
  <c r="B153" i="2"/>
  <c r="B2794" i="2"/>
  <c r="B1713" i="2"/>
  <c r="B2208" i="2"/>
  <c r="B2750" i="2"/>
  <c r="B2200" i="2"/>
  <c r="B2768" i="2"/>
  <c r="B2769" i="2"/>
  <c r="B2586" i="2"/>
  <c r="B2636" i="2"/>
  <c r="B854" i="2"/>
  <c r="B1021" i="2"/>
  <c r="B1758" i="2"/>
  <c r="B2489" i="2"/>
  <c r="B1896" i="2"/>
  <c r="B2094" i="2"/>
  <c r="B2474" i="2"/>
  <c r="B882" i="2"/>
  <c r="B1666" i="2"/>
  <c r="B101" i="2"/>
  <c r="B3044" i="2"/>
  <c r="B4076" i="2"/>
  <c r="B3955" i="2"/>
  <c r="B2783" i="2"/>
  <c r="B2643" i="2"/>
  <c r="B2646" i="2"/>
  <c r="B2547" i="2"/>
  <c r="B377" i="2"/>
  <c r="B96" i="2"/>
  <c r="B3084" i="2"/>
  <c r="B3149" i="2"/>
  <c r="B2653" i="2"/>
  <c r="B543" i="2"/>
  <c r="B999" i="2"/>
  <c r="B1374" i="2"/>
  <c r="B345" i="2"/>
  <c r="B994" i="2"/>
  <c r="B1127" i="2"/>
  <c r="B849" i="2"/>
  <c r="B2195" i="2"/>
  <c r="B71" i="2"/>
  <c r="B887" i="2"/>
  <c r="B2182" i="2"/>
  <c r="B1229" i="2"/>
  <c r="B1460" i="2"/>
  <c r="B2898" i="2"/>
  <c r="B2870" i="2"/>
  <c r="B2971" i="2"/>
  <c r="B3804" i="2"/>
  <c r="B555" i="2"/>
  <c r="B1372" i="2"/>
  <c r="B1595" i="2"/>
  <c r="B1113" i="2"/>
  <c r="B3651" i="2"/>
  <c r="B3005" i="2"/>
  <c r="B3806" i="2"/>
  <c r="B3803" i="2"/>
  <c r="B3364" i="2"/>
  <c r="B2502" i="2"/>
  <c r="B106" i="2"/>
  <c r="B3373" i="2"/>
  <c r="B3122" i="2"/>
  <c r="B1088" i="2"/>
  <c r="B1352" i="2"/>
  <c r="B515" i="2"/>
  <c r="B3158" i="2"/>
  <c r="B2988" i="2"/>
  <c r="B3331" i="2"/>
  <c r="B2175" i="2"/>
  <c r="B3098" i="2"/>
  <c r="B58" i="2"/>
  <c r="B3670" i="2"/>
  <c r="B3992" i="2"/>
  <c r="B11" i="2"/>
  <c r="B1005" i="2"/>
  <c r="B2747" i="2"/>
  <c r="B1859" i="2"/>
  <c r="B2092" i="2"/>
  <c r="B1890" i="2"/>
  <c r="B1412" i="2"/>
  <c r="B68" i="2"/>
  <c r="B3079" i="2"/>
  <c r="B2344" i="2"/>
  <c r="B266" i="2"/>
  <c r="B2481" i="2"/>
  <c r="B2126" i="2"/>
  <c r="B2773" i="2"/>
  <c r="B576" i="2"/>
  <c r="B1380" i="2"/>
  <c r="B1130" i="2"/>
  <c r="B140" i="2"/>
  <c r="B1753" i="2"/>
  <c r="B2239" i="2"/>
  <c r="B200" i="2"/>
  <c r="B201" i="2"/>
  <c r="B199" i="2"/>
  <c r="B3956" i="2"/>
  <c r="B3392" i="2"/>
  <c r="B2188" i="2"/>
  <c r="B3906" i="2"/>
  <c r="B3905" i="2"/>
  <c r="B960" i="2"/>
  <c r="B1400" i="2"/>
  <c r="B840" i="2"/>
  <c r="B594" i="2"/>
  <c r="B3731" i="2"/>
  <c r="B3290" i="2"/>
  <c r="B3954" i="2"/>
  <c r="B4121" i="2"/>
  <c r="B4120" i="2"/>
  <c r="B2158" i="2"/>
  <c r="B2577" i="2"/>
  <c r="B1657" i="2"/>
  <c r="B2842" i="2"/>
  <c r="B2940" i="2"/>
  <c r="B2827" i="2"/>
  <c r="B3126" i="2"/>
  <c r="B2913" i="2"/>
  <c r="B3112" i="2"/>
  <c r="B2782" i="2"/>
  <c r="B3157" i="2"/>
  <c r="B3053" i="2"/>
  <c r="B2987" i="2"/>
  <c r="B2792" i="2"/>
  <c r="B2608" i="2"/>
  <c r="B2645" i="2"/>
  <c r="B1709" i="2"/>
  <c r="B150" i="2"/>
  <c r="B810" i="2"/>
  <c r="B1840" i="2"/>
  <c r="B2642" i="2"/>
  <c r="B2206" i="2"/>
  <c r="B1283" i="2"/>
  <c r="B1049" i="2"/>
  <c r="B2612" i="2"/>
  <c r="B1488" i="2"/>
  <c r="B2518" i="2"/>
  <c r="B2517" i="2"/>
  <c r="B3907" i="2"/>
  <c r="B2855" i="2"/>
  <c r="B4137" i="2"/>
  <c r="B2621" i="2"/>
  <c r="B1231" i="2"/>
  <c r="B2104" i="2"/>
  <c r="B1839" i="2"/>
  <c r="B1218" i="2"/>
  <c r="B2087" i="2"/>
  <c r="B2786" i="2"/>
  <c r="B2592" i="2"/>
  <c r="B1936" i="2"/>
  <c r="B2173" i="2"/>
  <c r="B1823" i="2"/>
  <c r="B2613" i="2"/>
  <c r="B2113" i="2"/>
  <c r="B4113" i="2"/>
  <c r="B131" i="2"/>
  <c r="B2604" i="2"/>
  <c r="B447" i="2"/>
  <c r="B1221" i="2"/>
  <c r="B108" i="2"/>
  <c r="B1851" i="2"/>
  <c r="B2142" i="2"/>
  <c r="B341" i="2"/>
  <c r="B2639" i="2"/>
  <c r="B111" i="2"/>
  <c r="B1970" i="2"/>
  <c r="B1208" i="2"/>
  <c r="B1571" i="2"/>
  <c r="B710" i="2"/>
  <c r="B980" i="2"/>
  <c r="B979" i="2"/>
  <c r="B2101" i="2"/>
  <c r="B4152" i="2"/>
  <c r="B2999" i="2"/>
  <c r="B3153" i="2"/>
  <c r="B3018" i="2"/>
  <c r="B3754" i="2"/>
  <c r="B2132" i="2"/>
  <c r="B1235" i="2"/>
  <c r="B2863" i="2"/>
  <c r="B2285" i="2"/>
  <c r="B3370" i="2"/>
  <c r="B2953" i="2"/>
  <c r="B3030" i="2"/>
  <c r="B2829" i="2"/>
  <c r="B2495" i="2"/>
  <c r="B2823" i="2"/>
  <c r="B3915" i="2"/>
  <c r="B3909" i="2"/>
  <c r="B3946" i="2"/>
  <c r="B2844" i="2"/>
  <c r="B931" i="2"/>
  <c r="B1408" i="2"/>
  <c r="B1101" i="2"/>
  <c r="B541" i="2"/>
  <c r="B1486" i="2"/>
  <c r="B630" i="2"/>
  <c r="B2081" i="2"/>
  <c r="B1219" i="2"/>
  <c r="B626" i="2"/>
  <c r="B326" i="2"/>
  <c r="B1926" i="2"/>
  <c r="B1651" i="2"/>
  <c r="B348" i="2"/>
  <c r="B1850" i="2"/>
  <c r="B130" i="2"/>
  <c r="B2187" i="2"/>
  <c r="B1426" i="2"/>
  <c r="B1042" i="2"/>
  <c r="B2849" i="2"/>
  <c r="B1865" i="2"/>
  <c r="B2617" i="2"/>
  <c r="B2505" i="2"/>
  <c r="B112" i="2"/>
  <c r="B2760" i="2"/>
  <c r="B2079" i="2"/>
  <c r="B3953" i="2"/>
  <c r="B825" i="2"/>
  <c r="B4125" i="2"/>
  <c r="B1945" i="2"/>
  <c r="B2170" i="2"/>
  <c r="B808" i="2"/>
  <c r="B2164" i="2"/>
  <c r="B2589" i="2"/>
  <c r="B2236" i="2"/>
  <c r="B1722" i="2"/>
  <c r="B2946" i="2"/>
  <c r="B1589" i="2"/>
  <c r="B4143" i="2"/>
  <c r="B1830" i="2"/>
  <c r="B2631" i="2"/>
  <c r="B139" i="2"/>
  <c r="B3145" i="2"/>
  <c r="B2552" i="2"/>
  <c r="B1418" i="2"/>
  <c r="B3000" i="2"/>
  <c r="B1458" i="2"/>
  <c r="B1509" i="2"/>
  <c r="B2641" i="2"/>
  <c r="B3913" i="2"/>
  <c r="B4134" i="2"/>
  <c r="B2186" i="2"/>
  <c r="B2487" i="2"/>
  <c r="B2225" i="2"/>
  <c r="B864" i="2"/>
  <c r="B2177" i="2"/>
  <c r="B3094" i="2"/>
  <c r="B219" i="2"/>
  <c r="B1416" i="2"/>
  <c r="B1423" i="2"/>
  <c r="B1773" i="2"/>
  <c r="B114" i="2"/>
  <c r="B1686" i="2"/>
  <c r="B2449" i="2"/>
  <c r="B2788" i="2"/>
  <c r="B1788" i="2"/>
  <c r="B365" i="2"/>
  <c r="B356" i="2"/>
  <c r="B446" i="2"/>
  <c r="B1041" i="2"/>
  <c r="B1272" i="2"/>
  <c r="B3262" i="2"/>
  <c r="B1808" i="2"/>
  <c r="B1332" i="2"/>
  <c r="B514" i="2"/>
  <c r="B2897" i="2"/>
  <c r="B3842" i="2"/>
  <c r="B3779" i="2"/>
  <c r="B1019" i="2"/>
  <c r="B2601" i="2"/>
  <c r="B554" i="2"/>
  <c r="B2096" i="2"/>
  <c r="B1390" i="2"/>
  <c r="B1900" i="2"/>
  <c r="B142" i="2"/>
  <c r="B3437" i="2"/>
  <c r="B1464" i="2"/>
  <c r="B137" i="2"/>
  <c r="B843" i="2"/>
  <c r="B2082" i="2"/>
  <c r="B3259" i="2"/>
  <c r="B3258" i="2"/>
  <c r="B2172" i="2"/>
  <c r="B2090" i="2"/>
  <c r="B2464" i="2"/>
  <c r="B2165" i="2"/>
  <c r="B2506" i="2"/>
  <c r="B1526" i="2"/>
  <c r="B169" i="2"/>
  <c r="B3809" i="2"/>
  <c r="B3741" i="2"/>
  <c r="B2728" i="2"/>
  <c r="B2051" i="2"/>
  <c r="B1626" i="2"/>
  <c r="B1331" i="2"/>
  <c r="B627" i="2"/>
  <c r="B513" i="2"/>
  <c r="B1048" i="2"/>
  <c r="B461" i="2"/>
  <c r="B1282" i="2"/>
  <c r="B13" i="2"/>
  <c r="B961" i="2"/>
  <c r="B797" i="2"/>
  <c r="B336" i="2"/>
  <c r="B978" i="2"/>
  <c r="B981" i="2"/>
  <c r="B2293" i="2"/>
  <c r="B2080" i="2"/>
  <c r="B1786" i="2"/>
  <c r="B930" i="2"/>
  <c r="B512" i="2"/>
  <c r="B349" i="2"/>
  <c r="B2475" i="2"/>
  <c r="B1482" i="2"/>
  <c r="B2084" i="2"/>
  <c r="B1925" i="2"/>
  <c r="B2229" i="2"/>
  <c r="B929" i="2"/>
  <c r="B1114" i="2"/>
  <c r="B3576" i="2"/>
  <c r="B119" i="2"/>
  <c r="B1646" i="2"/>
  <c r="B1673" i="2"/>
  <c r="B1659" i="2"/>
  <c r="B819" i="2"/>
  <c r="B821" i="2"/>
  <c r="B814" i="2"/>
  <c r="B2466" i="2"/>
  <c r="B1360" i="2"/>
  <c r="B1086" i="2"/>
  <c r="B558" i="2"/>
  <c r="B1841" i="2"/>
  <c r="B203" i="2"/>
  <c r="B2452" i="2"/>
  <c r="B3087" i="2"/>
  <c r="B3891" i="2"/>
  <c r="B1768" i="2"/>
  <c r="B56" i="2"/>
  <c r="B3118" i="2"/>
  <c r="B3739" i="2"/>
  <c r="B2086" i="2"/>
  <c r="B1837" i="2"/>
  <c r="B2880" i="2"/>
  <c r="B3289" i="2"/>
  <c r="B3951" i="2"/>
  <c r="B2650" i="2"/>
  <c r="B2153" i="2"/>
  <c r="B33" i="2"/>
  <c r="B42" i="2"/>
  <c r="B3353" i="2"/>
  <c r="B2590" i="2"/>
  <c r="B1522" i="2"/>
  <c r="B1456" i="2"/>
  <c r="B4145" i="2"/>
  <c r="B780" i="2"/>
  <c r="B1772" i="2"/>
  <c r="B1662" i="2"/>
  <c r="B517" i="2"/>
  <c r="B2500" i="2"/>
  <c r="B1353" i="2"/>
  <c r="B2607" i="2"/>
  <c r="B1399" i="2"/>
  <c r="B637" i="2"/>
  <c r="B2973" i="2"/>
  <c r="B3142" i="2"/>
  <c r="B2996" i="2"/>
  <c r="B2136" i="2"/>
  <c r="B2486" i="2"/>
  <c r="B1385" i="2"/>
  <c r="B557" i="2"/>
  <c r="B985" i="2"/>
  <c r="B827" i="2"/>
  <c r="B3357" i="2"/>
  <c r="B1193" i="2"/>
  <c r="B1962" i="2"/>
  <c r="B3099" i="2"/>
  <c r="B3330" i="2"/>
  <c r="B1415" i="2"/>
  <c r="B884" i="2"/>
  <c r="B330" i="2"/>
  <c r="B4136" i="2"/>
  <c r="B3871" i="2"/>
  <c r="B1008" i="2"/>
  <c r="B1980" i="2"/>
  <c r="B2118" i="2"/>
  <c r="B2117" i="2"/>
  <c r="B949" i="2"/>
  <c r="B59" i="2"/>
  <c r="B3666" i="2"/>
  <c r="B823" i="2"/>
  <c r="B1640" i="2"/>
  <c r="B2471" i="2"/>
  <c r="B2772" i="2"/>
  <c r="B2480" i="2"/>
  <c r="B2967" i="2"/>
  <c r="B3029" i="2"/>
  <c r="B538" i="2"/>
  <c r="B1090" i="2"/>
  <c r="B1932" i="2"/>
  <c r="B1363" i="2"/>
  <c r="B2149" i="2"/>
  <c r="B1919" i="2"/>
  <c r="B343" i="2"/>
  <c r="B835" i="2"/>
  <c r="B3383" i="2"/>
  <c r="B2879" i="2"/>
  <c r="B2194" i="2"/>
  <c r="B1648" i="2"/>
  <c r="B695" i="2"/>
  <c r="B577" i="2"/>
  <c r="B107" i="2"/>
  <c r="B570" i="2"/>
  <c r="B198" i="2"/>
  <c r="B19" i="2"/>
  <c r="B1364" i="2"/>
  <c r="B2785" i="2"/>
  <c r="B1601" i="2"/>
  <c r="B18" i="2"/>
  <c r="B1348" i="2"/>
  <c r="B1164" i="2"/>
  <c r="B963" i="2"/>
  <c r="B1330" i="2"/>
  <c r="B1133" i="2"/>
  <c r="B4148" i="2"/>
  <c r="B217" i="2"/>
  <c r="B2491" i="2"/>
  <c r="B3376" i="2"/>
  <c r="B3749" i="2"/>
  <c r="B971" i="2"/>
  <c r="B972" i="2"/>
  <c r="B3329" i="2"/>
  <c r="B3428" i="2"/>
  <c r="B1888" i="2"/>
  <c r="B9" i="2"/>
  <c r="B1139" i="2"/>
  <c r="B1910" i="2"/>
  <c r="B1420" i="2"/>
  <c r="B2762" i="2"/>
  <c r="B1647" i="2"/>
  <c r="B2763" i="2"/>
  <c r="B1658" i="2"/>
  <c r="B1453" i="2"/>
  <c r="B3914" i="2"/>
  <c r="B3144" i="2"/>
  <c r="B3090" i="2"/>
  <c r="B1665" i="2"/>
  <c r="B802" i="2"/>
  <c r="B841" i="2"/>
  <c r="B2283" i="2"/>
  <c r="B1421" i="2"/>
  <c r="B1871" i="2"/>
  <c r="B3288" i="2"/>
  <c r="B2258" i="2"/>
  <c r="B1548" i="2"/>
  <c r="B2907" i="2"/>
  <c r="B3795" i="2"/>
  <c r="B3861" i="2"/>
  <c r="B1059" i="2"/>
  <c r="B511" i="2"/>
  <c r="B928" i="2"/>
  <c r="B1329" i="2"/>
  <c r="B2256" i="2"/>
  <c r="B1535" i="2"/>
  <c r="B3515" i="2"/>
  <c r="B3756" i="2"/>
  <c r="B3755" i="2"/>
  <c r="B388" i="2"/>
  <c r="B2106" i="2"/>
  <c r="B70" i="2"/>
  <c r="B3675" i="2"/>
  <c r="B3850" i="2"/>
  <c r="B3793" i="2"/>
  <c r="B2911" i="2"/>
  <c r="B1150" i="2"/>
  <c r="B2841" i="2"/>
  <c r="B1281" i="2"/>
  <c r="B460" i="2"/>
  <c r="B1696" i="2"/>
  <c r="B3492" i="2"/>
  <c r="B1397" i="2"/>
  <c r="B571" i="2"/>
  <c r="B2582" i="2"/>
  <c r="B556" i="2"/>
  <c r="B3738" i="2"/>
  <c r="B749" i="2"/>
  <c r="B157" i="2"/>
  <c r="B1358" i="2"/>
  <c r="B539" i="2"/>
  <c r="B1102" i="2"/>
  <c r="B1570" i="2"/>
  <c r="B181" i="2"/>
  <c r="B3744" i="2"/>
  <c r="B197" i="2"/>
  <c r="B694" i="2"/>
  <c r="B1280" i="2"/>
  <c r="B2759" i="2"/>
  <c r="B2865" i="2"/>
  <c r="B1357" i="2"/>
  <c r="B564" i="2"/>
  <c r="B1414" i="2"/>
  <c r="B2269" i="2"/>
  <c r="B1546" i="2"/>
  <c r="B1877" i="2"/>
  <c r="B1779" i="2"/>
  <c r="B614" i="2"/>
  <c r="B3431" i="2"/>
  <c r="B3287" i="2"/>
  <c r="B547" i="2"/>
  <c r="B1361" i="2"/>
  <c r="B337" i="2"/>
  <c r="B3758" i="2"/>
  <c r="B3810" i="2"/>
  <c r="B2703" i="2"/>
  <c r="B2018" i="2"/>
  <c r="B1643" i="2"/>
  <c r="B584" i="2"/>
  <c r="B1391" i="2"/>
  <c r="B2667" i="2"/>
  <c r="B3328" i="2"/>
  <c r="B1793" i="2"/>
  <c r="B4090" i="2"/>
  <c r="B3127" i="2"/>
  <c r="B3371" i="2"/>
  <c r="B3065" i="2"/>
  <c r="B3016" i="2"/>
  <c r="B3652" i="2"/>
  <c r="B2881" i="2"/>
  <c r="B1661" i="2"/>
  <c r="B3794" i="2"/>
  <c r="B3860" i="2"/>
  <c r="B2906" i="2"/>
  <c r="B3286" i="2"/>
  <c r="B3081" i="2"/>
  <c r="B3865" i="2"/>
  <c r="B3878" i="2"/>
  <c r="B4140" i="2"/>
  <c r="B1751" i="2"/>
  <c r="B1217" i="2"/>
  <c r="B221" i="2"/>
  <c r="B2689" i="2"/>
  <c r="B1999" i="2"/>
  <c r="B1370" i="2"/>
  <c r="B552" i="2"/>
  <c r="B1685" i="2"/>
  <c r="B3742" i="2"/>
  <c r="B3285" i="2"/>
  <c r="B3829" i="2"/>
  <c r="B2958" i="2"/>
  <c r="B3377" i="2"/>
  <c r="B3028" i="2"/>
  <c r="B1425" i="2"/>
  <c r="B3125" i="2"/>
  <c r="B2875" i="2"/>
  <c r="B3073" i="2"/>
  <c r="B2852" i="2"/>
  <c r="B559" i="2"/>
  <c r="B1375" i="2"/>
  <c r="B3284" i="2"/>
  <c r="B1328" i="2"/>
  <c r="B952" i="2"/>
  <c r="B1960" i="2"/>
  <c r="B847" i="2"/>
  <c r="B3327" i="2"/>
  <c r="B4133" i="2"/>
  <c r="B1663" i="2"/>
  <c r="B2574" i="2"/>
  <c r="B2776" i="2"/>
  <c r="B1660" i="2"/>
  <c r="B846" i="2"/>
  <c r="B1691" i="2"/>
  <c r="B2851" i="2"/>
  <c r="B1422" i="2"/>
  <c r="B3672" i="2"/>
  <c r="B1835" i="2"/>
  <c r="B1424" i="2"/>
  <c r="B2739" i="2"/>
  <c r="B2039" i="2"/>
  <c r="B1417" i="2"/>
  <c r="B830" i="2"/>
  <c r="B1327" i="2"/>
  <c r="B510" i="2"/>
  <c r="B2840" i="2"/>
  <c r="B51" i="2"/>
  <c r="B67" i="2"/>
  <c r="B1428" i="2"/>
  <c r="B190" i="2"/>
  <c r="B1737" i="2"/>
  <c r="B3748" i="2"/>
  <c r="B196" i="2"/>
  <c r="B17" i="2"/>
  <c r="B1638" i="2"/>
  <c r="B1140" i="2"/>
  <c r="B1395" i="2"/>
  <c r="B579" i="2"/>
  <c r="B1271" i="2"/>
  <c r="B1270" i="2"/>
  <c r="B3529" i="2"/>
  <c r="B3267" i="2"/>
  <c r="B1228" i="2"/>
  <c r="B3283" i="2"/>
  <c r="B1326" i="2"/>
  <c r="B585" i="2"/>
  <c r="B1351" i="2"/>
  <c r="B1419" i="2"/>
  <c r="B3746" i="2"/>
  <c r="B3326" i="2"/>
  <c r="B1838" i="2"/>
  <c r="B1584" i="2"/>
  <c r="B4119" i="2"/>
  <c r="B3737" i="2"/>
  <c r="B383" i="2"/>
  <c r="B1911" i="2"/>
  <c r="B1889" i="2"/>
  <c r="B1044" i="2"/>
  <c r="B376" i="2"/>
  <c r="B1991" i="2"/>
  <c r="B3582" i="2"/>
  <c r="B544" i="2"/>
  <c r="B1359" i="2"/>
  <c r="B548" i="2"/>
  <c r="B1366" i="2"/>
  <c r="B1694" i="2"/>
  <c r="B2146" i="2"/>
  <c r="B54" i="2"/>
  <c r="B939" i="2"/>
  <c r="B702" i="2"/>
  <c r="B1325" i="2"/>
  <c r="B509" i="2"/>
  <c r="B4099" i="2"/>
  <c r="B508" i="2"/>
  <c r="B1324" i="2"/>
  <c r="B1058" i="2"/>
  <c r="B927" i="2"/>
  <c r="B2710" i="2"/>
  <c r="B2004" i="2"/>
  <c r="B2872" i="2"/>
  <c r="B1979" i="2"/>
  <c r="B507" i="2"/>
  <c r="B1323" i="2"/>
  <c r="B829" i="2"/>
  <c r="B897" i="2"/>
  <c r="B896" i="2"/>
  <c r="B2014" i="2"/>
  <c r="B2726" i="2"/>
  <c r="B3394" i="2"/>
  <c r="B3555" i="2"/>
  <c r="B3556" i="2"/>
  <c r="B506" i="2"/>
  <c r="B1322" i="2"/>
  <c r="B1771" i="2"/>
  <c r="B4084" i="2"/>
  <c r="B3740" i="2"/>
  <c r="B1542" i="2"/>
  <c r="B2247" i="2"/>
  <c r="B3048" i="2"/>
  <c r="B3485" i="2"/>
  <c r="B205" i="2"/>
  <c r="B1799" i="2"/>
  <c r="B118" i="2"/>
  <c r="B1214" i="2"/>
  <c r="B813" i="2"/>
  <c r="B3743" i="2"/>
  <c r="B3365" i="2"/>
  <c r="B227" i="2"/>
  <c r="B1536" i="2"/>
  <c r="B2267" i="2"/>
  <c r="B1142" i="2"/>
  <c r="B2867" i="2"/>
  <c r="B2270" i="2"/>
  <c r="B1551" i="2"/>
  <c r="B2042" i="2"/>
  <c r="B2676" i="2"/>
  <c r="B1641" i="2"/>
  <c r="B3082" i="2"/>
  <c r="B195" i="2"/>
  <c r="B2545" i="2"/>
  <c r="B162" i="2"/>
  <c r="B1732" i="2"/>
  <c r="B3514" i="2"/>
  <c r="B3388" i="2"/>
  <c r="B3548" i="2"/>
  <c r="B3547" i="2"/>
  <c r="B3389" i="2"/>
  <c r="B2282" i="2"/>
  <c r="B1552" i="2"/>
  <c r="B2259" i="2"/>
  <c r="B3325" i="2"/>
  <c r="B2826" i="2"/>
  <c r="B2824" i="2"/>
  <c r="B1100" i="2"/>
  <c r="B568" i="2"/>
  <c r="B569" i="2"/>
  <c r="B1099" i="2"/>
  <c r="B1547" i="2"/>
  <c r="B2246" i="2"/>
  <c r="B639" i="2"/>
  <c r="B2622" i="2"/>
  <c r="B959" i="2"/>
  <c r="B3399" i="2"/>
  <c r="B1122" i="2"/>
  <c r="B602" i="2"/>
  <c r="B881" i="2"/>
  <c r="B1797" i="2"/>
  <c r="B1321" i="2"/>
  <c r="B505" i="2"/>
  <c r="B1369" i="2"/>
  <c r="B560" i="2"/>
  <c r="B635" i="2"/>
  <c r="B2606" i="2"/>
  <c r="B3432" i="2"/>
  <c r="B1541" i="2"/>
  <c r="B2249" i="2"/>
  <c r="B1774" i="2"/>
  <c r="B1555" i="2"/>
  <c r="B2253" i="2"/>
  <c r="B129" i="2"/>
  <c r="B3070" i="2"/>
  <c r="B1406" i="2"/>
  <c r="B4116" i="2"/>
  <c r="B1534" i="2"/>
  <c r="B2261" i="2"/>
  <c r="B3736" i="2"/>
  <c r="B3574" i="2"/>
  <c r="B3261" i="2"/>
  <c r="B2781" i="2"/>
  <c r="B1320" i="2"/>
  <c r="B386" i="2"/>
  <c r="B2264" i="2"/>
  <c r="B1539" i="2"/>
  <c r="B1831" i="2"/>
  <c r="B2600" i="2"/>
  <c r="B76" i="2"/>
  <c r="B715" i="2"/>
  <c r="B2176" i="2"/>
  <c r="B83" i="2"/>
  <c r="B1858" i="2"/>
  <c r="B2746" i="2"/>
  <c r="B2121" i="2"/>
  <c r="B2836" i="2"/>
  <c r="B3778" i="2"/>
  <c r="B2896" i="2"/>
  <c r="B3841" i="2"/>
  <c r="B3647" i="2"/>
  <c r="B2939" i="2"/>
  <c r="B3097" i="2"/>
  <c r="B3952" i="2"/>
  <c r="B3282" i="2"/>
  <c r="B3501" i="2"/>
  <c r="B1085" i="2"/>
  <c r="B553" i="2"/>
  <c r="B1367" i="2"/>
  <c r="B2465" i="2"/>
  <c r="B3808" i="2"/>
  <c r="B3324" i="2"/>
  <c r="B161" i="2"/>
  <c r="B693" i="2"/>
  <c r="B2649" i="2"/>
  <c r="B1852" i="2"/>
  <c r="B194" i="2"/>
  <c r="B1149" i="2"/>
  <c r="B2648" i="2"/>
  <c r="B1402" i="2"/>
  <c r="B593" i="2"/>
  <c r="B1401" i="2"/>
  <c r="B1109" i="2"/>
  <c r="B1108" i="2"/>
  <c r="B2691" i="2"/>
  <c r="B3323" i="2"/>
  <c r="B1319" i="2"/>
  <c r="B504" i="2"/>
  <c r="B44" i="2"/>
  <c r="B1381" i="2"/>
  <c r="B563" i="2"/>
  <c r="B2162" i="2"/>
  <c r="B1233" i="2"/>
  <c r="B606" i="2"/>
  <c r="B3745" i="2"/>
  <c r="B1550" i="2"/>
  <c r="B2266" i="2"/>
  <c r="B503" i="2"/>
  <c r="B1318" i="2"/>
  <c r="B636" i="2"/>
  <c r="B597" i="2"/>
  <c r="B1394" i="2"/>
  <c r="B1106" i="2"/>
  <c r="B516" i="2"/>
  <c r="B1350" i="2"/>
  <c r="B795" i="2"/>
  <c r="B1427" i="2"/>
  <c r="B445" i="2"/>
  <c r="B1269" i="2"/>
  <c r="B2871" i="2"/>
  <c r="B844" i="2"/>
  <c r="B2454" i="2"/>
  <c r="B3427" i="2"/>
  <c r="B3762" i="2"/>
  <c r="B3826" i="2"/>
  <c r="B2231" i="2"/>
  <c r="B1544" i="2"/>
  <c r="B2265" i="2"/>
  <c r="B2660" i="2"/>
  <c r="B1958" i="2"/>
  <c r="B2515" i="2"/>
  <c r="B1957" i="2"/>
  <c r="B1672" i="2"/>
  <c r="B646" i="2"/>
  <c r="B3361" i="2"/>
  <c r="B3281" i="2"/>
  <c r="B2616" i="2"/>
  <c r="B3372" i="2"/>
  <c r="B3532" i="2"/>
  <c r="B3470" i="2"/>
  <c r="B311" i="2"/>
  <c r="B3653" i="2"/>
  <c r="B3369" i="2"/>
  <c r="B1538" i="2"/>
  <c r="B2245" i="2"/>
  <c r="B1553" i="2"/>
  <c r="B2252" i="2"/>
  <c r="B3540" i="2"/>
  <c r="B3646" i="2"/>
  <c r="B634" i="2"/>
  <c r="B1639" i="2"/>
  <c r="B968" i="2"/>
  <c r="B770" i="2"/>
  <c r="B631" i="2"/>
  <c r="B1317" i="2"/>
  <c r="B502" i="2"/>
  <c r="B3777" i="2"/>
  <c r="B3840" i="2"/>
  <c r="B792" i="2"/>
  <c r="B1689" i="2"/>
  <c r="B1843" i="2"/>
  <c r="B193" i="2"/>
  <c r="B1047" i="2"/>
  <c r="B160" i="2"/>
  <c r="B12" i="2"/>
  <c r="B3543" i="2"/>
  <c r="B3257" i="2"/>
  <c r="B3256" i="2"/>
  <c r="B2754" i="2"/>
  <c r="B1141" i="2"/>
  <c r="B697" i="2"/>
  <c r="B2127" i="2"/>
  <c r="B2198" i="2"/>
  <c r="B3757" i="2"/>
  <c r="B204" i="2"/>
  <c r="B3645" i="2"/>
  <c r="B3356" i="2"/>
  <c r="B4130" i="2"/>
  <c r="B3128" i="2"/>
  <c r="B3322" i="2"/>
  <c r="B625" i="2"/>
  <c r="B3321" i="2"/>
  <c r="B1801" i="2"/>
  <c r="B3355" i="2"/>
  <c r="B572" i="2"/>
  <c r="B1404" i="2"/>
  <c r="B3881" i="2"/>
  <c r="B605" i="2"/>
  <c r="B748" i="2"/>
  <c r="B2537" i="2"/>
  <c r="B2795" i="2"/>
  <c r="B2210" i="2"/>
  <c r="B1575" i="2"/>
  <c r="B1715" i="2"/>
  <c r="B149" i="2"/>
  <c r="B1496" i="2"/>
  <c r="B178" i="2"/>
  <c r="B1316" i="2"/>
  <c r="B3526" i="2"/>
  <c r="B1644" i="2"/>
  <c r="B2733" i="2"/>
  <c r="B2040" i="2"/>
  <c r="B633" i="2"/>
  <c r="B3593" i="2"/>
  <c r="B452" i="2"/>
  <c r="B451" i="2"/>
  <c r="B3703" i="2"/>
  <c r="B867" i="2"/>
  <c r="B21" i="2"/>
  <c r="B1089" i="2"/>
  <c r="B159" i="2"/>
  <c r="B192" i="2"/>
  <c r="B832" i="2"/>
  <c r="B2230" i="2"/>
  <c r="B1664" i="2"/>
  <c r="B359" i="2"/>
  <c r="B1015" i="2"/>
  <c r="B953" i="2"/>
  <c r="B47" i="2"/>
  <c r="B3734" i="2"/>
  <c r="B1956" i="2"/>
  <c r="B2936" i="2"/>
  <c r="B3644" i="2"/>
  <c r="B3110" i="2"/>
  <c r="B934" i="2"/>
  <c r="B649" i="2"/>
  <c r="B1356" i="2"/>
  <c r="B520" i="2"/>
  <c r="B1209" i="2"/>
  <c r="B1775" i="2"/>
  <c r="B2093" i="2"/>
  <c r="B1891" i="2"/>
  <c r="B1863" i="2"/>
  <c r="B15" i="2"/>
  <c r="B2077" i="2"/>
  <c r="B3920" i="2"/>
  <c r="B2045" i="2"/>
  <c r="B2715" i="2"/>
  <c r="B2965" i="2"/>
  <c r="B3096" i="2"/>
  <c r="B3037" i="2"/>
  <c r="B2934" i="2"/>
  <c r="B2916" i="2"/>
  <c r="B3812" i="2"/>
  <c r="B327" i="2"/>
  <c r="B3643" i="2"/>
  <c r="B3255" i="2"/>
  <c r="B1684" i="2"/>
  <c r="B3426" i="2"/>
  <c r="B2587" i="2"/>
  <c r="B1178" i="2"/>
  <c r="B2748" i="2"/>
  <c r="B1600" i="2"/>
  <c r="B1279" i="2"/>
  <c r="B1870" i="2"/>
  <c r="B109" i="2"/>
  <c r="B16" i="2"/>
  <c r="B1704" i="2"/>
  <c r="B690" i="2"/>
  <c r="B3254" i="2"/>
  <c r="B3253" i="2"/>
  <c r="B3252" i="2"/>
  <c r="B1558" i="2"/>
  <c r="B2263" i="2"/>
  <c r="B501" i="2"/>
  <c r="B1315" i="2"/>
  <c r="B1314" i="2"/>
  <c r="B2268" i="2"/>
  <c r="B1556" i="2"/>
  <c r="B1876" i="2"/>
  <c r="B804" i="2"/>
  <c r="B3360" i="2"/>
  <c r="B3642" i="2"/>
  <c r="B3852" i="2"/>
  <c r="B2902" i="2"/>
  <c r="B3776" i="2"/>
  <c r="B1545" i="2"/>
  <c r="B2257" i="2"/>
  <c r="B1479" i="2"/>
  <c r="B3163" i="2"/>
  <c r="B1549" i="2"/>
  <c r="B2251" i="2"/>
  <c r="B444" i="2"/>
  <c r="B629" i="2"/>
  <c r="B1268" i="2"/>
  <c r="B2569" i="2"/>
  <c r="B1761" i="2"/>
  <c r="B1313" i="2"/>
  <c r="B500" i="2"/>
  <c r="B1431" i="2"/>
  <c r="B3578" i="2"/>
  <c r="B443" i="2"/>
  <c r="B914" i="2"/>
  <c r="B1508" i="2"/>
  <c r="B1869" i="2"/>
  <c r="B2895" i="2"/>
  <c r="B3775" i="2"/>
  <c r="B3839" i="2"/>
  <c r="B2125" i="2"/>
  <c r="B499" i="2"/>
  <c r="B885" i="2"/>
  <c r="B872" i="2"/>
  <c r="B643" i="2"/>
  <c r="B913" i="2"/>
  <c r="B3873" i="2"/>
  <c r="B3997" i="2"/>
  <c r="B3320" i="2"/>
  <c r="B1537" i="2"/>
  <c r="B2250" i="2"/>
  <c r="B2662" i="2"/>
  <c r="B1148" i="2"/>
  <c r="B442" i="2"/>
  <c r="B1267" i="2"/>
  <c r="B3089" i="2"/>
  <c r="B2584" i="2"/>
  <c r="B1683" i="2"/>
  <c r="B2274" i="2"/>
  <c r="B2" i="2"/>
  <c r="B3714" i="2"/>
  <c r="B3166" i="2"/>
  <c r="B3902" i="2"/>
  <c r="B4118" i="2"/>
  <c r="B3602" i="2"/>
  <c r="B218" i="2"/>
  <c r="B498" i="2"/>
  <c r="B497" i="2"/>
  <c r="B3015" i="2"/>
  <c r="B2874" i="2"/>
  <c r="B3124" i="2"/>
  <c r="B1543" i="2"/>
  <c r="B2260" i="2"/>
  <c r="B3266" i="2"/>
  <c r="B3265" i="2"/>
  <c r="B2980" i="2"/>
  <c r="B2284" i="2"/>
  <c r="B1312" i="2"/>
  <c r="B496" i="2"/>
  <c r="B926" i="2"/>
  <c r="B933" i="2"/>
  <c r="B3727" i="2"/>
  <c r="B3712" i="2"/>
  <c r="B2262" i="2"/>
  <c r="B1559" i="2"/>
  <c r="B1311" i="2"/>
  <c r="B495" i="2"/>
  <c r="B339" i="2"/>
  <c r="B2098" i="2"/>
  <c r="B765" i="2"/>
  <c r="B2752" i="2"/>
  <c r="B936" i="2"/>
  <c r="B1511" i="2"/>
  <c r="B3753" i="2"/>
  <c r="B542" i="2"/>
  <c r="B1368" i="2"/>
  <c r="B2024" i="2"/>
  <c r="B977" i="2"/>
  <c r="B1009" i="2"/>
  <c r="B2089" i="2"/>
  <c r="B1194" i="2"/>
  <c r="B1529" i="2"/>
  <c r="B1714" i="2"/>
  <c r="B1189" i="2"/>
  <c r="B3251" i="2"/>
  <c r="B3250" i="2"/>
  <c r="B1182" i="2"/>
  <c r="B454" i="2"/>
  <c r="B3473" i="2"/>
  <c r="B3838" i="2"/>
  <c r="B2894" i="2"/>
  <c r="B3774" i="2"/>
  <c r="B2271" i="2"/>
  <c r="B1540" i="2"/>
  <c r="B2862" i="2"/>
  <c r="B2112" i="2"/>
  <c r="B2578" i="2"/>
  <c r="B2140" i="2"/>
  <c r="B3319" i="2"/>
  <c r="B3433" i="2"/>
  <c r="B3100" i="2"/>
  <c r="B3819" i="2"/>
  <c r="B2962" i="2"/>
  <c r="B3035" i="2"/>
  <c r="B2921" i="2"/>
  <c r="B3680" i="2"/>
  <c r="B1973" i="2"/>
  <c r="B3121" i="2"/>
  <c r="B3318" i="2"/>
  <c r="B4018" i="2"/>
  <c r="B3317" i="2"/>
  <c r="B3352" i="2"/>
  <c r="B3528" i="2"/>
  <c r="B550" i="2"/>
  <c r="B1389" i="2"/>
  <c r="B1147" i="2"/>
  <c r="B1278" i="2"/>
  <c r="B459" i="2"/>
  <c r="B1847" i="2"/>
  <c r="B105" i="2"/>
  <c r="B1371" i="2"/>
  <c r="B590" i="2"/>
  <c r="B1115" i="2"/>
  <c r="B764" i="2"/>
  <c r="B494" i="2"/>
  <c r="B2462" i="2"/>
  <c r="B3280" i="2"/>
  <c r="B1624" i="2"/>
  <c r="B2049" i="2"/>
  <c r="B2734" i="2"/>
  <c r="B4062" i="2"/>
  <c r="B2596" i="2"/>
  <c r="B2108" i="2"/>
  <c r="B2343" i="2"/>
  <c r="B2634" i="2"/>
  <c r="B3316" i="2"/>
  <c r="B2800" i="2"/>
  <c r="B2240" i="2"/>
  <c r="B2222" i="2"/>
  <c r="B1599" i="2"/>
  <c r="B1499" i="2"/>
  <c r="B1729" i="2"/>
  <c r="B148" i="2"/>
  <c r="B771" i="2"/>
  <c r="B831" i="2"/>
  <c r="B756" i="2"/>
  <c r="B177" i="2"/>
  <c r="B1569" i="2"/>
  <c r="B1948" i="2"/>
  <c r="B1921" i="2"/>
  <c r="B935" i="2"/>
  <c r="B664" i="2"/>
  <c r="B1046" i="2"/>
  <c r="B1275" i="2"/>
  <c r="B455" i="2"/>
  <c r="B3315" i="2"/>
  <c r="B3314" i="2"/>
  <c r="B1365" i="2"/>
  <c r="B546" i="2"/>
  <c r="B2499" i="2"/>
  <c r="B3918" i="2"/>
  <c r="B3565" i="2"/>
  <c r="B3564" i="2"/>
  <c r="B3724" i="2"/>
  <c r="B735" i="2"/>
  <c r="B215" i="2"/>
  <c r="B1682" i="2"/>
  <c r="B3093" i="2"/>
  <c r="B187" i="2"/>
  <c r="B751" i="2"/>
  <c r="B1588" i="2"/>
  <c r="B2287" i="2"/>
  <c r="B2966" i="2"/>
  <c r="B3043" i="2"/>
  <c r="B3868" i="2"/>
  <c r="B4075" i="2"/>
  <c r="B1310" i="2"/>
  <c r="B1455" i="2"/>
  <c r="B1220" i="2"/>
  <c r="B2083" i="2"/>
  <c r="B2661" i="2"/>
  <c r="B1923" i="2"/>
  <c r="B241" i="2"/>
  <c r="B1481" i="2"/>
  <c r="B95" i="2"/>
  <c r="B2473" i="2"/>
  <c r="B2652" i="2"/>
  <c r="B2085" i="2"/>
  <c r="B2544" i="2"/>
  <c r="B3075" i="2"/>
  <c r="B957" i="2"/>
  <c r="B1681" i="2"/>
  <c r="B1886" i="2"/>
  <c r="B8" i="2"/>
  <c r="B1138" i="2"/>
  <c r="B1909" i="2"/>
  <c r="B3690" i="2"/>
  <c r="B441" i="2"/>
  <c r="B1040" i="2"/>
  <c r="B1266" i="2"/>
  <c r="B3773" i="2"/>
  <c r="B2893" i="2"/>
  <c r="B3837" i="2"/>
  <c r="B493" i="2"/>
  <c r="B3313" i="2"/>
  <c r="B3102" i="2"/>
  <c r="B2923" i="2"/>
  <c r="B3821" i="2"/>
  <c r="B2963" i="2"/>
  <c r="B2937" i="2"/>
  <c r="B3034" i="2"/>
  <c r="B1265" i="2"/>
  <c r="B2602" i="2"/>
  <c r="B3088" i="2"/>
  <c r="B2767" i="2"/>
  <c r="B2615" i="2"/>
  <c r="B2597" i="2"/>
  <c r="B1943" i="2"/>
  <c r="B3363" i="2"/>
  <c r="B3531" i="2"/>
  <c r="B1695" i="2"/>
  <c r="B1478" i="2"/>
  <c r="B2516" i="2"/>
  <c r="B900" i="2"/>
  <c r="B113" i="2"/>
  <c r="B3140" i="2"/>
  <c r="B2949" i="2"/>
  <c r="B2869" i="2"/>
  <c r="B4011" i="2"/>
  <c r="B2235" i="2"/>
  <c r="B782" i="2"/>
  <c r="B2809" i="2"/>
  <c r="B1608" i="2"/>
  <c r="B2514" i="2"/>
  <c r="B1264" i="2"/>
  <c r="B440" i="2"/>
  <c r="B824" i="2"/>
  <c r="B984" i="2"/>
  <c r="B329" i="2"/>
  <c r="B2444" i="2"/>
  <c r="B2010" i="2"/>
  <c r="B2717" i="2"/>
  <c r="B3312" i="2"/>
  <c r="B3311" i="2"/>
  <c r="B439" i="2"/>
  <c r="B3123" i="2"/>
  <c r="B2854" i="2"/>
  <c r="B3279" i="2"/>
  <c r="B3014" i="2"/>
  <c r="B1812" i="2"/>
  <c r="B1092" i="2"/>
  <c r="B1091" i="2"/>
  <c r="B600" i="2"/>
  <c r="B599" i="2"/>
  <c r="B305" i="2"/>
  <c r="B2362" i="2"/>
  <c r="B3310" i="2"/>
  <c r="B1680" i="2"/>
  <c r="B66" i="2"/>
  <c r="B2160" i="2"/>
  <c r="B1485" i="2"/>
  <c r="B1828" i="2"/>
  <c r="B3764" i="2"/>
  <c r="B55" i="2"/>
  <c r="B2656" i="2"/>
  <c r="B385" i="2"/>
  <c r="B2655" i="2"/>
  <c r="B967" i="2"/>
  <c r="B2097" i="2"/>
  <c r="B492" i="2"/>
  <c r="B1309" i="2"/>
  <c r="B1434" i="2"/>
  <c r="B3674" i="2"/>
  <c r="B1711" i="2"/>
  <c r="B2764" i="2"/>
  <c r="B216" i="2"/>
  <c r="B1698" i="2"/>
  <c r="B1577" i="2"/>
  <c r="B176" i="2"/>
  <c r="B1495" i="2"/>
  <c r="B147" i="2"/>
  <c r="B2209" i="2"/>
  <c r="B1719" i="2"/>
  <c r="B760" i="2"/>
  <c r="B2798" i="2"/>
  <c r="B2320" i="2"/>
  <c r="B1308" i="2"/>
  <c r="B491" i="2"/>
  <c r="B72" i="2"/>
  <c r="B87" i="2"/>
  <c r="B3784" i="2"/>
  <c r="B3855" i="2"/>
  <c r="B3789" i="2"/>
  <c r="B2905" i="2"/>
  <c r="B3249" i="2"/>
  <c r="B3248" i="2"/>
  <c r="B2008" i="2"/>
  <c r="B2712" i="2"/>
  <c r="B1623" i="2"/>
  <c r="B3247" i="2"/>
  <c r="B1679" i="2"/>
  <c r="B3513" i="2"/>
  <c r="B801" i="2"/>
  <c r="B2478" i="2"/>
  <c r="B3349" i="2"/>
  <c r="B3559" i="2"/>
  <c r="B3560" i="2"/>
  <c r="B4111" i="2"/>
  <c r="B358" i="2"/>
  <c r="B1678" i="2"/>
  <c r="B1792" i="2"/>
  <c r="B3550" i="2"/>
  <c r="B3348" i="2"/>
  <c r="B3549" i="2"/>
  <c r="B7" i="2"/>
  <c r="B4058" i="2"/>
  <c r="B3527" i="2"/>
  <c r="B3351" i="2"/>
  <c r="B3246" i="2"/>
  <c r="B2709" i="2"/>
  <c r="B2073" i="2"/>
  <c r="B3309" i="2"/>
  <c r="B790" i="2"/>
  <c r="B3879" i="2"/>
  <c r="B656" i="2"/>
  <c r="B1197" i="2"/>
  <c r="B3245" i="2"/>
  <c r="B1163" i="2"/>
  <c r="B535" i="2"/>
  <c r="B1347" i="2"/>
  <c r="B747" i="2"/>
  <c r="B2214" i="2"/>
  <c r="B2802" i="2"/>
  <c r="B182" i="2"/>
  <c r="B146" i="2"/>
  <c r="B1573" i="2"/>
  <c r="B1720" i="2"/>
  <c r="B1491" i="2"/>
  <c r="B3836" i="2"/>
  <c r="B3772" i="2"/>
  <c r="B2892" i="2"/>
  <c r="B551" i="2"/>
  <c r="B1383" i="2"/>
  <c r="B2918" i="2"/>
  <c r="B3031" i="2"/>
  <c r="B2957" i="2"/>
  <c r="B3461" i="2"/>
  <c r="B3103" i="2"/>
  <c r="B3817" i="2"/>
  <c r="B1082" i="2"/>
  <c r="B537" i="2"/>
  <c r="B3800" i="2"/>
  <c r="B3853" i="2"/>
  <c r="B2899" i="2"/>
  <c r="B632" i="2"/>
  <c r="B3040" i="2"/>
  <c r="B3950" i="2"/>
  <c r="B1574" i="2"/>
  <c r="B145" i="2"/>
  <c r="B1712" i="2"/>
  <c r="B1494" i="2"/>
  <c r="B754" i="2"/>
  <c r="B2211" i="2"/>
  <c r="B2796" i="2"/>
  <c r="B175" i="2"/>
  <c r="B871" i="2"/>
  <c r="B2503" i="2"/>
  <c r="B1692" i="2"/>
  <c r="B3835" i="2"/>
  <c r="B2891" i="2"/>
  <c r="B3771" i="2"/>
  <c r="B2698" i="2"/>
  <c r="B2068" i="2"/>
  <c r="B1894" i="2"/>
  <c r="B925" i="2"/>
  <c r="B490" i="2"/>
  <c r="B3650" i="2"/>
  <c r="B1937" i="2"/>
  <c r="B1224" i="2"/>
  <c r="B2498" i="2"/>
  <c r="B1199" i="2"/>
  <c r="B312" i="2"/>
  <c r="B2394" i="2"/>
  <c r="B3539" i="2"/>
  <c r="B924" i="2"/>
  <c r="B992" i="2"/>
  <c r="B3362" i="2"/>
  <c r="B1677" i="2"/>
  <c r="B1554" i="2"/>
  <c r="B2254" i="2"/>
  <c r="B3425" i="2"/>
  <c r="B53" i="2"/>
  <c r="B3424" i="2"/>
  <c r="B2681" i="2"/>
  <c r="B1622" i="2"/>
  <c r="B2000" i="2"/>
  <c r="B2611" i="2"/>
  <c r="B1583" i="2"/>
  <c r="B752" i="2"/>
  <c r="B184" i="2"/>
  <c r="B3308" i="2"/>
  <c r="B1438" i="2"/>
  <c r="B3858" i="2"/>
  <c r="B2908" i="2"/>
  <c r="B3798" i="2"/>
  <c r="B1997" i="2"/>
  <c r="B2684" i="2"/>
  <c r="B638" i="2"/>
  <c r="B14" i="2"/>
  <c r="B1096" i="2"/>
  <c r="B1095" i="2"/>
  <c r="B1129" i="2"/>
  <c r="B591" i="2"/>
  <c r="B592" i="2"/>
  <c r="B1697" i="2"/>
  <c r="B2724" i="2"/>
  <c r="B2038" i="2"/>
  <c r="B3244" i="2"/>
  <c r="B3423" i="2"/>
  <c r="B1690" i="2"/>
  <c r="B586" i="2"/>
  <c r="B587" i="2"/>
  <c r="B1105" i="2"/>
  <c r="B1107" i="2"/>
  <c r="B3856" i="2"/>
  <c r="B3788" i="2"/>
  <c r="B2904" i="2"/>
  <c r="B489" i="2"/>
  <c r="B1307" i="2"/>
  <c r="B1094" i="2"/>
  <c r="B1093" i="2"/>
  <c r="B583" i="2"/>
  <c r="B318" i="2"/>
  <c r="B2407" i="2"/>
  <c r="B2890" i="2"/>
  <c r="B3770" i="2"/>
  <c r="B2129" i="2"/>
  <c r="B2131" i="2"/>
  <c r="B1039" i="2"/>
  <c r="B3525" i="2"/>
  <c r="B3368" i="2"/>
  <c r="B875" i="2"/>
  <c r="B834" i="2"/>
  <c r="B3848" i="2"/>
  <c r="B2901" i="2"/>
  <c r="B3796" i="2"/>
  <c r="B2912" i="2"/>
  <c r="B3851" i="2"/>
  <c r="B3792" i="2"/>
  <c r="B2070" i="2"/>
  <c r="B1621" i="2"/>
  <c r="B3380" i="2"/>
  <c r="B236" i="2"/>
  <c r="B2316" i="2"/>
  <c r="B540" i="2"/>
  <c r="B912" i="2"/>
  <c r="B1984" i="2"/>
  <c r="B2801" i="2"/>
  <c r="B2538" i="2"/>
  <c r="B2213" i="2"/>
  <c r="B545" i="2"/>
  <c r="B1407" i="2"/>
  <c r="B3506" i="2"/>
  <c r="B2977" i="2"/>
  <c r="B3790" i="2"/>
  <c r="B3849" i="2"/>
  <c r="B2909" i="2"/>
  <c r="B3307" i="2"/>
  <c r="B889" i="2"/>
  <c r="B2858" i="2"/>
  <c r="B1468" i="2"/>
  <c r="B611" i="2"/>
  <c r="B800" i="2"/>
  <c r="B4003" i="2"/>
  <c r="B1018" i="2"/>
  <c r="B3243" i="2"/>
  <c r="B650" i="2"/>
  <c r="B3676" i="2"/>
  <c r="B1451" i="2"/>
  <c r="B3242" i="2"/>
  <c r="B3241" i="2"/>
  <c r="B1429" i="2"/>
  <c r="B2445" i="2"/>
  <c r="B658" i="2"/>
  <c r="B1462" i="2"/>
  <c r="B820" i="2"/>
  <c r="B2961" i="2"/>
  <c r="B3108" i="2"/>
  <c r="B3815" i="2"/>
  <c r="B2943" i="2"/>
  <c r="B2919" i="2"/>
  <c r="B2938" i="2"/>
  <c r="B3036" i="2"/>
  <c r="B1038" i="2"/>
  <c r="B438" i="2"/>
  <c r="B1263" i="2"/>
  <c r="B1433" i="2"/>
  <c r="B1769" i="2"/>
  <c r="B3354" i="2"/>
  <c r="B3554" i="2"/>
  <c r="B3406" i="2"/>
  <c r="B3553" i="2"/>
  <c r="B3709" i="2"/>
  <c r="B3747" i="2"/>
  <c r="B3119" i="2"/>
  <c r="B2061" i="2"/>
  <c r="B2721" i="2"/>
  <c r="B3949" i="2"/>
  <c r="B437" i="2"/>
  <c r="B911" i="2"/>
  <c r="B1676" i="2"/>
  <c r="B1652" i="2"/>
  <c r="B692" i="2"/>
  <c r="B947" i="2"/>
  <c r="B1560" i="2"/>
  <c r="B2255" i="2"/>
  <c r="B3655" i="2"/>
  <c r="B2848" i="2"/>
  <c r="B2276" i="2"/>
  <c r="B1940" i="2"/>
  <c r="B1306" i="2"/>
  <c r="B488" i="2"/>
  <c r="B1477" i="2"/>
  <c r="B436" i="2"/>
  <c r="B1476" i="2"/>
  <c r="B1262" i="2"/>
  <c r="B2205" i="2"/>
  <c r="B141" i="2"/>
  <c r="B1708" i="2"/>
  <c r="B1955" i="2"/>
  <c r="B2790" i="2"/>
  <c r="B435" i="2"/>
  <c r="B2196" i="2"/>
  <c r="B1475" i="2"/>
  <c r="B1190" i="2"/>
  <c r="B2917" i="2"/>
  <c r="B2956" i="2"/>
  <c r="B3813" i="2"/>
  <c r="B3033" i="2"/>
  <c r="B3104" i="2"/>
  <c r="B2932" i="2"/>
  <c r="B1885" i="2"/>
  <c r="B1908" i="2"/>
  <c r="B2099" i="2"/>
  <c r="B3240" i="2"/>
  <c r="B3476" i="2"/>
  <c r="B154" i="2"/>
  <c r="B1500" i="2"/>
  <c r="B783" i="2"/>
  <c r="B2221" i="2"/>
  <c r="B1518" i="2"/>
  <c r="B1718" i="2"/>
  <c r="B2806" i="2"/>
  <c r="B3689" i="2"/>
  <c r="B567" i="2"/>
  <c r="B1409" i="2"/>
  <c r="B923" i="2"/>
  <c r="B1057" i="2"/>
  <c r="B3966" i="2"/>
  <c r="B691" i="2"/>
  <c r="B910" i="2"/>
  <c r="B2058" i="2"/>
  <c r="B2741" i="2"/>
  <c r="B1305" i="2"/>
  <c r="B487" i="2"/>
  <c r="B1004" i="2"/>
  <c r="B2443" i="2"/>
  <c r="B3504" i="2"/>
  <c r="B320" i="2"/>
  <c r="B2373" i="2"/>
  <c r="B52" i="2"/>
  <c r="B226" i="2"/>
  <c r="B3677" i="2"/>
  <c r="B2409" i="2"/>
  <c r="B1222" i="2"/>
  <c r="B3359" i="2"/>
  <c r="B6" i="2"/>
  <c r="B1137" i="2"/>
  <c r="B1907" i="2"/>
  <c r="B1884" i="2"/>
  <c r="B1906" i="2"/>
  <c r="B1883" i="2"/>
  <c r="B1136" i="2"/>
  <c r="B5" i="2"/>
  <c r="B3385" i="2"/>
  <c r="B1487" i="2"/>
  <c r="B2731" i="2"/>
  <c r="B2060" i="2"/>
  <c r="B3750" i="2"/>
  <c r="B434" i="2"/>
  <c r="B2789" i="2"/>
  <c r="B1707" i="2"/>
  <c r="B1474" i="2"/>
  <c r="B2204" i="2"/>
  <c r="B836" i="2"/>
  <c r="B859" i="2"/>
  <c r="B486" i="2"/>
  <c r="B3944" i="2"/>
  <c r="B3111" i="2"/>
  <c r="B2931" i="2"/>
  <c r="B3641" i="2"/>
  <c r="B2378" i="2"/>
  <c r="B686" i="2"/>
  <c r="B3395" i="2"/>
  <c r="B3552" i="2"/>
  <c r="B3551" i="2"/>
  <c r="B2539" i="2"/>
  <c r="B2979" i="2"/>
  <c r="B1346" i="2"/>
  <c r="B1123" i="2"/>
  <c r="B581" i="2"/>
  <c r="B1124" i="2"/>
  <c r="B1167" i="2"/>
  <c r="B2723" i="2"/>
  <c r="B2022" i="2"/>
  <c r="B2910" i="2"/>
  <c r="B3857" i="2"/>
  <c r="B3791" i="2"/>
  <c r="B1261" i="2"/>
  <c r="B433" i="2"/>
  <c r="B2183" i="2"/>
  <c r="B2535" i="2"/>
  <c r="B1609" i="2"/>
  <c r="B2203" i="2"/>
  <c r="B3239" i="2"/>
  <c r="B3238" i="2"/>
  <c r="B115" i="2"/>
  <c r="B4070" i="2"/>
  <c r="B2716" i="2"/>
  <c r="B1620" i="2"/>
  <c r="B2013" i="2"/>
  <c r="B2713" i="2"/>
  <c r="B2052" i="2"/>
  <c r="B1379" i="2"/>
  <c r="B685" i="2"/>
  <c r="B458" i="2"/>
  <c r="B1739" i="2"/>
  <c r="B1634" i="2"/>
  <c r="B166" i="2"/>
  <c r="B2237" i="2"/>
  <c r="B1738" i="2"/>
  <c r="B2955" i="2"/>
  <c r="B3120" i="2"/>
  <c r="B2935" i="2"/>
  <c r="B3867" i="2"/>
  <c r="B4013" i="2"/>
  <c r="B661" i="2"/>
  <c r="B3306" i="2"/>
  <c r="B485" i="2"/>
  <c r="B1472" i="2"/>
  <c r="B3719" i="2"/>
  <c r="B484" i="2"/>
  <c r="B1304" i="2"/>
  <c r="B737" i="2"/>
  <c r="B1938" i="2"/>
  <c r="B1135" i="2"/>
  <c r="B1882" i="2"/>
  <c r="B1905" i="2"/>
  <c r="B4" i="2"/>
  <c r="B3397" i="2"/>
  <c r="B2006" i="2"/>
  <c r="B2675" i="2"/>
  <c r="B1785" i="2"/>
  <c r="B3834" i="2"/>
  <c r="B3769" i="2"/>
  <c r="B2889" i="2"/>
  <c r="B3474" i="2"/>
  <c r="B1185" i="2"/>
  <c r="B453" i="2"/>
  <c r="B3347" i="2"/>
  <c r="B3523" i="2"/>
  <c r="B1260" i="2"/>
  <c r="B432" i="2"/>
  <c r="B3807" i="2"/>
  <c r="B483" i="2"/>
  <c r="B1303" i="2"/>
  <c r="B482" i="2"/>
  <c r="B481" i="2"/>
  <c r="B1302" i="2"/>
  <c r="B1447" i="2"/>
  <c r="B1967" i="2"/>
  <c r="B1747" i="2"/>
  <c r="B431" i="2"/>
  <c r="B168" i="2"/>
  <c r="B2202" i="2"/>
  <c r="B1687" i="2"/>
  <c r="B3833" i="2"/>
  <c r="B2888" i="2"/>
  <c r="B3768" i="2"/>
  <c r="B3825" i="2"/>
  <c r="B3767" i="2"/>
  <c r="B3832" i="2"/>
  <c r="B2887" i="2"/>
  <c r="B3781" i="2"/>
  <c r="B1881" i="2"/>
  <c r="B1904" i="2"/>
  <c r="B3" i="2"/>
  <c r="B3538" i="2"/>
  <c r="B3435" i="2"/>
  <c r="B3422" i="2"/>
  <c r="B3305" i="2"/>
  <c r="B3595" i="2"/>
  <c r="B3237" i="2"/>
  <c r="B3236" i="2"/>
  <c r="B3235" i="2"/>
  <c r="B1602" i="2"/>
  <c r="B3706" i="2"/>
  <c r="B2659" i="2"/>
  <c r="B1037" i="2"/>
  <c r="B1671" i="2"/>
  <c r="B2583" i="2"/>
  <c r="B3814" i="2"/>
  <c r="B3109" i="2"/>
  <c r="B2925" i="2"/>
  <c r="B2047" i="2"/>
  <c r="B2706" i="2"/>
  <c r="B3640" i="2"/>
  <c r="B3234" i="2"/>
  <c r="B3981" i="2"/>
  <c r="B2057" i="2"/>
  <c r="B2701" i="2"/>
  <c r="B188" i="2"/>
  <c r="B755" i="2"/>
  <c r="B1580" i="2"/>
  <c r="B2534" i="2"/>
  <c r="B144" i="2"/>
  <c r="B1728" i="2"/>
  <c r="B2217" i="2"/>
  <c r="B1503" i="2"/>
  <c r="B2805" i="2"/>
  <c r="B1954" i="2"/>
  <c r="B430" i="2"/>
  <c r="B3654" i="2"/>
  <c r="B3233" i="2"/>
  <c r="B3530" i="2"/>
  <c r="B1259" i="2"/>
  <c r="B429" i="2"/>
  <c r="B1675" i="2"/>
  <c r="B2900" i="2"/>
  <c r="B3859" i="2"/>
  <c r="B3787" i="2"/>
  <c r="B1625" i="2"/>
  <c r="B3761" i="2"/>
  <c r="B3827" i="2"/>
  <c r="B1903" i="2"/>
  <c r="B1880" i="2"/>
  <c r="B3822" i="2"/>
  <c r="B2513" i="2"/>
  <c r="B3375" i="2"/>
  <c r="B616" i="2"/>
  <c r="B1703" i="2"/>
  <c r="B3694" i="2"/>
  <c r="B1345" i="2"/>
  <c r="B1078" i="2"/>
  <c r="B1162" i="2"/>
  <c r="B1077" i="2"/>
  <c r="B1036" i="2"/>
  <c r="B2692" i="2"/>
  <c r="B2033" i="2"/>
  <c r="B683" i="2"/>
  <c r="B2053" i="2"/>
  <c r="B2778" i="2"/>
  <c r="B2171" i="2"/>
  <c r="B1373" i="2"/>
  <c r="B428" i="2"/>
  <c r="B3421" i="2"/>
  <c r="B1410" i="2"/>
  <c r="B519" i="2"/>
  <c r="B1355" i="2"/>
  <c r="B3760" i="2"/>
  <c r="B2884" i="2"/>
  <c r="B3095" i="2"/>
  <c r="B3232" i="2"/>
  <c r="B3231" i="2"/>
  <c r="B2883" i="2"/>
  <c r="B4123" i="2"/>
  <c r="B4077" i="2"/>
  <c r="B3639" i="2"/>
  <c r="B2758" i="2"/>
  <c r="B315" i="2"/>
  <c r="B2370" i="2"/>
  <c r="B2850" i="2"/>
  <c r="B2374" i="2"/>
  <c r="B427" i="2"/>
  <c r="B1184" i="2"/>
  <c r="B1146" i="2"/>
  <c r="B4042" i="2"/>
  <c r="B3919" i="2"/>
  <c r="B1145" i="2"/>
  <c r="B60" i="2"/>
  <c r="B2180" i="2"/>
  <c r="B2860" i="2"/>
  <c r="B1649" i="2"/>
  <c r="B387" i="2"/>
  <c r="B3278" i="2"/>
  <c r="B3304" i="2"/>
  <c r="B3820" i="2"/>
  <c r="B3106" i="2"/>
  <c r="B2920" i="2"/>
  <c r="B2928" i="2"/>
  <c r="B3038" i="2"/>
  <c r="B2960" i="2"/>
  <c r="B2288" i="2"/>
  <c r="B3898" i="2"/>
  <c r="B3230" i="2"/>
  <c r="B3229" i="2"/>
  <c r="B1010" i="2"/>
  <c r="B1784" i="2"/>
  <c r="B3420" i="2"/>
  <c r="B1627" i="2"/>
  <c r="B480" i="2"/>
  <c r="B1301" i="2"/>
  <c r="B1693" i="2"/>
  <c r="B2972" i="2"/>
  <c r="B3131" i="2"/>
  <c r="B3872" i="2"/>
  <c r="B1986" i="2"/>
  <c r="B1783" i="2"/>
  <c r="B1754" i="2"/>
  <c r="B2427" i="2"/>
  <c r="B4079" i="2"/>
  <c r="B3408" i="2"/>
  <c r="B1241" i="2"/>
  <c r="B641" i="2"/>
  <c r="B1809" i="2"/>
  <c r="B1205" i="2"/>
  <c r="B1134" i="2"/>
  <c r="B601" i="2"/>
  <c r="B1398" i="2"/>
  <c r="B426" i="2"/>
  <c r="B3228" i="2"/>
  <c r="B3227" i="2"/>
  <c r="B3226" i="2"/>
  <c r="B1258" i="2"/>
  <c r="B425" i="2"/>
  <c r="B3921" i="2"/>
  <c r="B4041" i="2"/>
  <c r="B2903" i="2"/>
  <c r="B3797" i="2"/>
  <c r="B3854" i="2"/>
  <c r="B331" i="2"/>
  <c r="B2381" i="2"/>
  <c r="B2683" i="2"/>
  <c r="B2044" i="2"/>
  <c r="B4060" i="2"/>
  <c r="B1035" i="2"/>
  <c r="B3303" i="2"/>
  <c r="B479" i="2"/>
  <c r="B922" i="2"/>
  <c r="B2012" i="2"/>
  <c r="B1619" i="2"/>
  <c r="B2690" i="2"/>
  <c r="B3400" i="2"/>
  <c r="B3678" i="2"/>
  <c r="B3638" i="2"/>
  <c r="B3225" i="2"/>
  <c r="B1992" i="2"/>
  <c r="B2696" i="2"/>
  <c r="B2062" i="2"/>
  <c r="B3723" i="2"/>
  <c r="B1344" i="2"/>
  <c r="B1126" i="2"/>
  <c r="B1125" i="2"/>
  <c r="B1172" i="2"/>
  <c r="B588" i="2"/>
  <c r="B1076" i="2"/>
  <c r="B3522" i="2"/>
  <c r="B1075" i="2"/>
  <c r="B1161" i="2"/>
  <c r="B3346" i="2"/>
  <c r="B1074" i="2"/>
  <c r="B1343" i="2"/>
  <c r="B534" i="2"/>
  <c r="B1131" i="2"/>
  <c r="B3407" i="2"/>
  <c r="B951" i="2"/>
  <c r="B2197" i="2"/>
  <c r="B286" i="2"/>
  <c r="B2424" i="2"/>
  <c r="B753" i="2"/>
  <c r="B1781" i="2"/>
  <c r="B1615" i="2"/>
  <c r="B772" i="2"/>
  <c r="B1578" i="2"/>
  <c r="B2820" i="2"/>
  <c r="B1740" i="2"/>
  <c r="B2224" i="2"/>
  <c r="B183" i="2"/>
  <c r="B2557" i="2"/>
  <c r="B3116" i="2"/>
  <c r="B673" i="2"/>
  <c r="B938" i="2"/>
  <c r="B424" i="2"/>
  <c r="B1257" i="2"/>
  <c r="B1300" i="2"/>
  <c r="B478" i="2"/>
  <c r="B1959" i="2"/>
  <c r="B2021" i="2"/>
  <c r="B2705" i="2"/>
  <c r="B3419" i="2"/>
  <c r="B1299" i="2"/>
  <c r="B2950" i="2"/>
  <c r="B2968" i="2"/>
  <c r="B3637" i="2"/>
  <c r="B423" i="2"/>
  <c r="B2519" i="2"/>
  <c r="B2520" i="2"/>
  <c r="B477" i="2"/>
  <c r="B670" i="2"/>
  <c r="B3224" i="2"/>
  <c r="B3223" i="2"/>
  <c r="B3962" i="2"/>
  <c r="B3358" i="2"/>
  <c r="B3374" i="2"/>
  <c r="B675" i="2"/>
  <c r="B666" i="2"/>
  <c r="B909" i="2"/>
  <c r="B678" i="2"/>
  <c r="B1981" i="2"/>
  <c r="B2220" i="2"/>
  <c r="B2808" i="2"/>
  <c r="B155" i="2"/>
  <c r="B1519" i="2"/>
  <c r="B1501" i="2"/>
  <c r="B1721" i="2"/>
  <c r="B2693" i="2"/>
  <c r="B2036" i="2"/>
  <c r="B580" i="2"/>
  <c r="B1097" i="2"/>
  <c r="B1098" i="2"/>
  <c r="B1342" i="2"/>
  <c r="B2315" i="2"/>
  <c r="B3402" i="2"/>
  <c r="B845" i="2"/>
  <c r="B57" i="2"/>
  <c r="B1612" i="2"/>
  <c r="B214" i="2"/>
  <c r="B603" i="2"/>
  <c r="B1388" i="2"/>
  <c r="B1803" i="2"/>
  <c r="B3381" i="2"/>
  <c r="B676" i="2"/>
  <c r="B2483" i="2"/>
  <c r="B2488" i="2"/>
  <c r="B3563" i="2"/>
  <c r="B3345" i="2"/>
  <c r="B3562" i="2"/>
  <c r="B3418" i="2"/>
  <c r="B812" i="2"/>
  <c r="B136" i="2"/>
  <c r="B3701" i="2"/>
  <c r="B4031" i="2"/>
  <c r="B3344" i="2"/>
  <c r="B1179" i="2"/>
  <c r="B2005" i="2"/>
  <c r="B2678" i="2"/>
  <c r="B2725" i="2"/>
  <c r="B2019" i="2"/>
  <c r="B476" i="2"/>
  <c r="B921" i="2"/>
  <c r="B422" i="2"/>
  <c r="B1256" i="2"/>
  <c r="B2708" i="2"/>
  <c r="B1642" i="2"/>
  <c r="B2037" i="2"/>
  <c r="B1413" i="2"/>
  <c r="B920" i="2"/>
  <c r="B475" i="2"/>
  <c r="B3692" i="2"/>
  <c r="B126" i="2"/>
  <c r="B1977" i="2"/>
  <c r="B1169" i="2"/>
  <c r="B1111" i="2"/>
  <c r="B1168" i="2"/>
  <c r="B1341" i="2"/>
  <c r="B565" i="2"/>
  <c r="B1112" i="2"/>
  <c r="B566" i="2"/>
  <c r="B3546" i="2"/>
  <c r="B3343" i="2"/>
  <c r="B3545" i="2"/>
  <c r="B3342" i="2"/>
  <c r="B3943" i="2"/>
  <c r="B4117" i="2"/>
  <c r="B3499" i="2"/>
  <c r="B260" i="2"/>
  <c r="B2349" i="2"/>
  <c r="B3222" i="2"/>
  <c r="B4100" i="2"/>
  <c r="B164" i="2"/>
  <c r="B1745" i="2"/>
  <c r="B4154" i="2"/>
  <c r="B1255" i="2"/>
  <c r="B421" i="2"/>
  <c r="B1670" i="2"/>
  <c r="B3341" i="2"/>
  <c r="B1160" i="2"/>
  <c r="B533" i="2"/>
  <c r="B3604" i="2"/>
  <c r="B3656" i="2"/>
  <c r="B3536" i="2"/>
  <c r="B3588" i="2"/>
  <c r="B3221" i="2"/>
  <c r="B3535" i="2"/>
  <c r="B3699" i="2"/>
  <c r="B3685" i="2"/>
  <c r="B2922" i="2"/>
  <c r="B3107" i="2"/>
  <c r="B2959" i="2"/>
  <c r="B3032" i="2"/>
  <c r="B3818" i="2"/>
  <c r="B3220" i="2"/>
  <c r="B3636" i="2"/>
  <c r="B647" i="2"/>
  <c r="B945" i="2"/>
  <c r="B225" i="2"/>
  <c r="B2625" i="2"/>
  <c r="B2319" i="2"/>
  <c r="B235" i="2"/>
  <c r="B4139" i="2"/>
  <c r="B313" i="2"/>
  <c r="B2328" i="2"/>
  <c r="B2114" i="2"/>
  <c r="B3219" i="2"/>
  <c r="B3218" i="2"/>
  <c r="B3217" i="2"/>
  <c r="B3216" i="2"/>
  <c r="B3134" i="2"/>
  <c r="B2929" i="2"/>
  <c r="B3577" i="2"/>
  <c r="B2107" i="2"/>
  <c r="B1833" i="2"/>
  <c r="B2512" i="2"/>
  <c r="B672" i="2"/>
  <c r="B908" i="2"/>
  <c r="B1953" i="2"/>
  <c r="B2975" i="2"/>
  <c r="B2749" i="2"/>
  <c r="B156" i="2"/>
  <c r="B789" i="2"/>
  <c r="B1717" i="2"/>
  <c r="B1498" i="2"/>
  <c r="B1513" i="2"/>
  <c r="B2215" i="2"/>
  <c r="B2799" i="2"/>
  <c r="B3105" i="2"/>
  <c r="B3824" i="2"/>
  <c r="B2927" i="2"/>
  <c r="B2729" i="2"/>
  <c r="B2009" i="2"/>
  <c r="B1045" i="2"/>
  <c r="B2835" i="2"/>
  <c r="B3215" i="2"/>
  <c r="B3155" i="2"/>
  <c r="B1618" i="2"/>
  <c r="B2016" i="2"/>
  <c r="B2714" i="2"/>
  <c r="B3711" i="2"/>
  <c r="B2433" i="2"/>
  <c r="B919" i="2"/>
  <c r="B1007" i="2"/>
  <c r="B3573" i="2"/>
  <c r="B319" i="2"/>
  <c r="B2413" i="2"/>
  <c r="B3942" i="2"/>
  <c r="B3214" i="2"/>
  <c r="B3213" i="2"/>
  <c r="B3302" i="2"/>
  <c r="B1034" i="2"/>
  <c r="B3301" i="2"/>
  <c r="B2664" i="2"/>
  <c r="B659" i="2"/>
  <c r="B944" i="2"/>
  <c r="B186" i="2"/>
  <c r="B778" i="2"/>
  <c r="B1121" i="2"/>
  <c r="B1120" i="2"/>
  <c r="B1171" i="2"/>
  <c r="B595" i="2"/>
  <c r="B1170" i="2"/>
  <c r="B596" i="2"/>
  <c r="B941" i="2"/>
  <c r="B680" i="2"/>
  <c r="B1749" i="2"/>
  <c r="B420" i="2"/>
  <c r="B1254" i="2"/>
  <c r="B3403" i="2"/>
  <c r="B419" i="2"/>
  <c r="B1159" i="2"/>
  <c r="B532" i="2"/>
  <c r="B1158" i="2"/>
  <c r="B1688" i="2"/>
  <c r="B669" i="2"/>
  <c r="B3340" i="2"/>
  <c r="B3558" i="2"/>
  <c r="B3557" i="2"/>
  <c r="B1469" i="2"/>
  <c r="B2463" i="2"/>
  <c r="B689" i="2"/>
  <c r="B2930" i="2"/>
  <c r="B2834" i="2"/>
  <c r="B990" i="2"/>
  <c r="B2459" i="2"/>
  <c r="B645" i="2"/>
  <c r="B907" i="2"/>
  <c r="B278" i="2"/>
  <c r="B2323" i="2"/>
  <c r="B4071" i="2"/>
  <c r="B3716" i="2"/>
  <c r="B127" i="2"/>
  <c r="B2314" i="2"/>
  <c r="B2859" i="2"/>
  <c r="B744" i="2"/>
  <c r="B1143" i="2"/>
  <c r="B123" i="2"/>
  <c r="B2822" i="2"/>
  <c r="B234" i="2"/>
  <c r="B2313" i="2"/>
  <c r="B679" i="2"/>
  <c r="B1502" i="2"/>
  <c r="B2797" i="2"/>
  <c r="B174" i="2"/>
  <c r="B1585" i="2"/>
  <c r="B143" i="2"/>
  <c r="B618" i="2"/>
  <c r="B1633" i="2"/>
  <c r="B1726" i="2"/>
  <c r="B2212" i="2"/>
  <c r="B743" i="2"/>
  <c r="B608" i="2"/>
  <c r="B3973" i="2"/>
  <c r="B518" i="2"/>
  <c r="B1354" i="2"/>
  <c r="B1033" i="2"/>
  <c r="B3143" i="2"/>
  <c r="B3021" i="2"/>
  <c r="B1253" i="2"/>
  <c r="B1032" i="2"/>
  <c r="B2666" i="2"/>
  <c r="B450" i="2"/>
  <c r="B3503" i="2"/>
  <c r="B418" i="2"/>
  <c r="B3567" i="2"/>
  <c r="B3568" i="2"/>
  <c r="B3586" i="2"/>
  <c r="B3384" i="2"/>
  <c r="B3705" i="2"/>
  <c r="B3713" i="2"/>
  <c r="B774" i="2"/>
  <c r="B3339" i="2"/>
  <c r="B2218" i="2"/>
  <c r="B2804" i="2"/>
  <c r="B2001" i="2"/>
  <c r="B2720" i="2"/>
  <c r="B3751" i="2"/>
  <c r="B2139" i="2"/>
  <c r="B1901" i="2"/>
  <c r="B3509" i="2"/>
  <c r="B3165" i="2"/>
  <c r="B895" i="2"/>
  <c r="B2947" i="2"/>
  <c r="B3816" i="2"/>
  <c r="B2926" i="2"/>
  <c r="B3417" i="2"/>
  <c r="B3502" i="2"/>
  <c r="B3941" i="2"/>
  <c r="B2340" i="2"/>
  <c r="B285" i="2"/>
  <c r="B3494" i="2"/>
  <c r="B3300" i="2"/>
  <c r="B417" i="2"/>
  <c r="B1031" i="2"/>
  <c r="B598" i="2"/>
  <c r="B1116" i="2"/>
  <c r="B1441" i="2"/>
  <c r="B4096" i="2"/>
  <c r="B3679" i="2"/>
  <c r="B2354" i="2"/>
  <c r="B306" i="2"/>
  <c r="B3600" i="2"/>
  <c r="B3212" i="2"/>
  <c r="B3610" i="2"/>
  <c r="B3635" i="2"/>
  <c r="B3211" i="2"/>
  <c r="B1180" i="2"/>
  <c r="B3210" i="2"/>
  <c r="B3634" i="2"/>
  <c r="B3209" i="2"/>
  <c r="B3896" i="2"/>
  <c r="B3961" i="2"/>
  <c r="B906" i="2"/>
  <c r="B674" i="2"/>
  <c r="B4010" i="2"/>
  <c r="B3633" i="2"/>
  <c r="B3379" i="2"/>
  <c r="B3208" i="2"/>
  <c r="B3579" i="2"/>
  <c r="B3632" i="2"/>
  <c r="B4027" i="2"/>
  <c r="B3843" i="2"/>
  <c r="B1895" i="2"/>
  <c r="B3299" i="2"/>
  <c r="B3416" i="2"/>
  <c r="B4088" i="2"/>
  <c r="B3971" i="2"/>
  <c r="B3631" i="2"/>
  <c r="B3207" i="2"/>
  <c r="B3572" i="2"/>
  <c r="B2351" i="2"/>
  <c r="B252" i="2"/>
  <c r="B3387" i="2"/>
  <c r="B3649" i="2"/>
  <c r="B3605" i="2"/>
  <c r="B3591" i="2"/>
  <c r="B3630" i="2"/>
  <c r="B3206" i="2"/>
  <c r="B3886" i="2"/>
  <c r="B2148" i="2"/>
  <c r="B2143" i="2"/>
  <c r="B1030" i="2"/>
  <c r="B1298" i="2"/>
  <c r="B474" i="2"/>
  <c r="B3978" i="2"/>
  <c r="B3940" i="2"/>
  <c r="B4124" i="2"/>
  <c r="B4146" i="2"/>
  <c r="B3968" i="2"/>
  <c r="B788" i="2"/>
  <c r="B1996" i="2"/>
  <c r="B1617" i="2"/>
  <c r="B2674" i="2"/>
  <c r="B2511" i="2"/>
  <c r="B2941" i="2"/>
  <c r="B575" i="2"/>
  <c r="B1104" i="2"/>
  <c r="B574" i="2"/>
  <c r="B1103" i="2"/>
  <c r="B2312" i="2"/>
  <c r="B876" i="2"/>
  <c r="B3720" i="2"/>
  <c r="B3085" i="2"/>
  <c r="B1196" i="2"/>
  <c r="B2403" i="2"/>
  <c r="B1868" i="2"/>
  <c r="B1856" i="2"/>
  <c r="B1669" i="2"/>
  <c r="B416" i="2"/>
  <c r="B2658" i="2"/>
  <c r="B3629" i="2"/>
  <c r="B2244" i="2"/>
  <c r="B1533" i="2"/>
  <c r="B2559" i="2"/>
  <c r="B2166" i="2"/>
  <c r="B2192" i="2"/>
  <c r="B49" i="2"/>
  <c r="B3695" i="2"/>
  <c r="B703" i="2"/>
  <c r="B1756" i="2"/>
  <c r="B1918" i="2"/>
  <c r="B3076" i="2"/>
  <c r="B729" i="2"/>
  <c r="B2740" i="2"/>
  <c r="B2030" i="2"/>
  <c r="B2688" i="2"/>
  <c r="B2046" i="2"/>
  <c r="B1616" i="2"/>
  <c r="B1029" i="2"/>
  <c r="B415" i="2"/>
  <c r="B1252" i="2"/>
  <c r="B4009" i="2"/>
  <c r="B3671" i="2"/>
  <c r="B3735" i="2"/>
  <c r="B3999" i="2"/>
  <c r="B4025" i="2"/>
  <c r="B2540" i="2"/>
  <c r="B3708" i="2"/>
  <c r="B2390" i="2"/>
  <c r="B279" i="2"/>
  <c r="B1493" i="2"/>
  <c r="B165" i="2"/>
  <c r="B3890" i="2"/>
  <c r="B2944" i="2"/>
  <c r="B2364" i="2"/>
  <c r="B270" i="2"/>
  <c r="B414" i="2"/>
  <c r="B3205" i="2"/>
  <c r="B2687" i="2"/>
  <c r="B2002" i="2"/>
  <c r="B4066" i="2"/>
  <c r="B4157" i="2"/>
  <c r="B2157" i="2"/>
  <c r="B2702" i="2"/>
  <c r="B2003" i="2"/>
  <c r="B2065" i="2"/>
  <c r="B2673" i="2"/>
  <c r="B2137" i="2"/>
  <c r="B3831" i="2"/>
  <c r="B2970" i="2"/>
  <c r="B2886" i="2"/>
  <c r="B3766" i="2"/>
  <c r="B3571" i="2"/>
  <c r="B3436" i="2"/>
  <c r="B3204" i="2"/>
  <c r="B3733" i="2"/>
  <c r="B688" i="2"/>
  <c r="B644" i="2"/>
  <c r="B932" i="2"/>
  <c r="B613" i="2"/>
  <c r="B2964" i="2"/>
  <c r="B3113" i="2"/>
  <c r="B3823" i="2"/>
  <c r="B2924" i="2"/>
  <c r="B3042" i="2"/>
  <c r="B3628" i="2"/>
  <c r="B2023" i="2"/>
  <c r="B2679" i="2"/>
  <c r="B1516" i="2"/>
  <c r="B180" i="2"/>
  <c r="B750" i="2"/>
  <c r="B151" i="2"/>
  <c r="B1497" i="2"/>
  <c r="B1716" i="2"/>
  <c r="B2219" i="2"/>
  <c r="B2803" i="2"/>
  <c r="B1576" i="2"/>
  <c r="B4046" i="2"/>
  <c r="B2311" i="2"/>
  <c r="B763" i="2"/>
  <c r="B3627" i="2"/>
  <c r="B3203" i="2"/>
  <c r="B3415" i="2"/>
  <c r="B655" i="2"/>
  <c r="B654" i="2"/>
  <c r="B1952" i="2"/>
  <c r="B1386" i="2"/>
  <c r="B4115" i="2"/>
  <c r="B275" i="2"/>
  <c r="B2338" i="2"/>
  <c r="B998" i="2"/>
  <c r="B413" i="2"/>
  <c r="B3414" i="2"/>
  <c r="B3477" i="2"/>
  <c r="B3202" i="2"/>
  <c r="B3590" i="2"/>
  <c r="B3626" i="2"/>
  <c r="B3606" i="2"/>
  <c r="B3201" i="2"/>
  <c r="B3200" i="2"/>
  <c r="B1173" i="2"/>
  <c r="B412" i="2"/>
  <c r="B617" i="2"/>
  <c r="B2629" i="2"/>
  <c r="B996" i="2"/>
  <c r="B3378" i="2"/>
  <c r="B3544" i="2"/>
  <c r="B1596" i="2"/>
  <c r="B3478" i="2"/>
  <c r="B677" i="2"/>
  <c r="B2064" i="2"/>
  <c r="B2685" i="2"/>
  <c r="B3939" i="2"/>
  <c r="B1807" i="2"/>
  <c r="B3199" i="2"/>
  <c r="B3658" i="2"/>
  <c r="B3609" i="2"/>
  <c r="B3198" i="2"/>
  <c r="B3197" i="2"/>
  <c r="B3599" i="2"/>
  <c r="B3298" i="2"/>
  <c r="B2635" i="2"/>
  <c r="B2416" i="2"/>
  <c r="B3994" i="2"/>
  <c r="B1396" i="2"/>
  <c r="B411" i="2"/>
  <c r="B671" i="2"/>
  <c r="B4158" i="2"/>
  <c r="B2477" i="2"/>
  <c r="B918" i="2"/>
  <c r="B473" i="2"/>
  <c r="B1056" i="2"/>
  <c r="B1297" i="2"/>
  <c r="B1251" i="2"/>
  <c r="B410" i="2"/>
  <c r="B1028" i="2"/>
  <c r="B1993" i="2"/>
  <c r="B1296" i="2"/>
  <c r="B1006" i="2"/>
  <c r="B1055" i="2"/>
  <c r="B472" i="2"/>
  <c r="B3899" i="2"/>
  <c r="B3488" i="2"/>
  <c r="B346" i="2"/>
  <c r="B2448" i="2"/>
  <c r="B917" i="2"/>
  <c r="B471" i="2"/>
  <c r="B409" i="2"/>
  <c r="B1027" i="2"/>
  <c r="B3916" i="2"/>
  <c r="B1387" i="2"/>
  <c r="B604" i="2"/>
  <c r="B1442" i="2"/>
  <c r="B408" i="2"/>
  <c r="B943" i="2"/>
  <c r="B1450" i="2"/>
  <c r="B1656" i="2"/>
  <c r="B3270" i="2"/>
  <c r="B3510" i="2"/>
  <c r="B3625" i="2"/>
  <c r="B3715" i="2"/>
  <c r="B407" i="2"/>
  <c r="B1026" i="2"/>
  <c r="B406" i="2"/>
  <c r="B1250" i="2"/>
  <c r="B1025" i="2"/>
  <c r="B321" i="2"/>
  <c r="B2395" i="2"/>
  <c r="B1087" i="2"/>
  <c r="B1743" i="2"/>
  <c r="B2109" i="2"/>
  <c r="B1757" i="2"/>
  <c r="B2281" i="2"/>
  <c r="B2426" i="2"/>
  <c r="B1249" i="2"/>
  <c r="B3439" i="2"/>
  <c r="B3608" i="2"/>
  <c r="B3663" i="2"/>
  <c r="B405" i="2"/>
  <c r="B3662" i="2"/>
  <c r="B3575" i="2"/>
  <c r="B3585" i="2"/>
  <c r="B3196" i="2"/>
  <c r="B3434" i="2"/>
  <c r="B607" i="2"/>
  <c r="B3707" i="2"/>
  <c r="B3710" i="2"/>
  <c r="B3481" i="2"/>
  <c r="B1405" i="2"/>
  <c r="B2025" i="2"/>
  <c r="B2735" i="2"/>
  <c r="B3607" i="2"/>
  <c r="B3597" i="2"/>
  <c r="B3624" i="2"/>
  <c r="B3195" i="2"/>
  <c r="B3194" i="2"/>
  <c r="B224" i="2"/>
  <c r="B2751" i="2"/>
  <c r="B2363" i="2"/>
  <c r="B284" i="2"/>
  <c r="B1411" i="2"/>
  <c r="B796" i="2"/>
  <c r="B1200" i="2"/>
  <c r="B1702" i="2"/>
  <c r="B1248" i="2"/>
  <c r="B404" i="2"/>
  <c r="B3151" i="2"/>
  <c r="B2665" i="2"/>
  <c r="B3193" i="2"/>
  <c r="B2657" i="2"/>
  <c r="B2576" i="2"/>
  <c r="B4005" i="2"/>
  <c r="B758" i="2"/>
  <c r="B4085" i="2"/>
  <c r="B2345" i="2"/>
  <c r="B259" i="2"/>
  <c r="B3338" i="2"/>
  <c r="B3521" i="2"/>
  <c r="B288" i="2"/>
  <c r="B2327" i="2"/>
  <c r="B3297" i="2"/>
  <c r="B323" i="2"/>
  <c r="B470" i="2"/>
  <c r="B1054" i="2"/>
  <c r="B916" i="2"/>
  <c r="B1295" i="2"/>
  <c r="B267" i="2"/>
  <c r="B2336" i="2"/>
  <c r="B3192" i="2"/>
  <c r="B3191" i="2"/>
  <c r="B2818" i="2"/>
  <c r="B1473" i="2"/>
  <c r="B3296" i="2"/>
  <c r="B4051" i="2"/>
  <c r="B1294" i="2"/>
  <c r="B469" i="2"/>
  <c r="B3687" i="2"/>
  <c r="B1083" i="2"/>
  <c r="B1382" i="2"/>
  <c r="B3623" i="2"/>
  <c r="B3190" i="2"/>
  <c r="B3382" i="2"/>
  <c r="B3725" i="2"/>
  <c r="B642" i="2"/>
  <c r="B3965" i="2"/>
  <c r="B1073" i="2"/>
  <c r="B1072" i="2"/>
  <c r="B1340" i="2"/>
  <c r="B1157" i="2"/>
  <c r="B531" i="2"/>
  <c r="B1071" i="2"/>
  <c r="B2356" i="2"/>
  <c r="B273" i="2"/>
  <c r="B2234" i="2"/>
  <c r="B1736" i="2"/>
  <c r="B152" i="2"/>
  <c r="B2933" i="2"/>
  <c r="B3847" i="2"/>
  <c r="B1510" i="2"/>
  <c r="B3622" i="2"/>
  <c r="B2807" i="2"/>
  <c r="B2425" i="2"/>
  <c r="B282" i="2"/>
  <c r="B3189" i="2"/>
  <c r="B3603" i="2"/>
  <c r="B3882" i="2"/>
  <c r="B3587" i="2"/>
  <c r="B3188" i="2"/>
  <c r="B3187" i="2"/>
  <c r="B3802" i="2"/>
  <c r="B2581" i="2"/>
  <c r="B2630" i="2"/>
  <c r="B2603" i="2"/>
  <c r="B3686" i="2"/>
  <c r="B2273" i="2"/>
  <c r="B2428" i="2"/>
  <c r="B3621" i="2"/>
  <c r="B403" i="2"/>
  <c r="B1119" i="2"/>
  <c r="B1202" i="2"/>
  <c r="B2387" i="2"/>
  <c r="B1452" i="2"/>
  <c r="B4008" i="2"/>
  <c r="B3688" i="2"/>
  <c r="B457" i="2"/>
  <c r="B997" i="2"/>
  <c r="B1983" i="2"/>
  <c r="B653" i="2"/>
  <c r="B2819" i="2"/>
  <c r="B1592" i="2"/>
  <c r="B1741" i="2"/>
  <c r="B2243" i="2"/>
  <c r="B1591" i="2"/>
  <c r="B402" i="2"/>
  <c r="B784" i="2"/>
  <c r="B171" i="2"/>
  <c r="B2811" i="2"/>
  <c r="B1293" i="2"/>
  <c r="B468" i="2"/>
  <c r="B298" i="2"/>
  <c r="B3659" i="2"/>
  <c r="B3186" i="2"/>
  <c r="B3541" i="2"/>
  <c r="B3693" i="2"/>
  <c r="B276" i="2"/>
  <c r="B2718" i="2"/>
  <c r="B2034" i="2"/>
  <c r="B1445" i="2"/>
  <c r="B2422" i="2"/>
  <c r="B2414" i="2"/>
  <c r="B304" i="2"/>
  <c r="B4104" i="2"/>
  <c r="B3862" i="2"/>
  <c r="B3570" i="2"/>
  <c r="B2942" i="2"/>
  <c r="B2976" i="2"/>
  <c r="B3114" i="2"/>
  <c r="B3684" i="2"/>
  <c r="B3489" i="2"/>
  <c r="B69" i="2"/>
  <c r="B3620" i="2"/>
  <c r="B2626" i="2"/>
  <c r="B3498" i="2"/>
  <c r="B4015" i="2"/>
  <c r="B4078" i="2"/>
  <c r="B1339" i="2"/>
  <c r="B1070" i="2"/>
  <c r="B1156" i="2"/>
  <c r="B530" i="2"/>
  <c r="B1069" i="2"/>
  <c r="B1068" i="2"/>
  <c r="B3704" i="2"/>
  <c r="B4048" i="2"/>
  <c r="B1674" i="2"/>
  <c r="B2732" i="2"/>
  <c r="B2069" i="2"/>
  <c r="B1166" i="2"/>
  <c r="B1128" i="2"/>
  <c r="B622" i="2"/>
  <c r="B1934" i="2"/>
  <c r="B2405" i="2"/>
  <c r="B1247" i="2"/>
  <c r="B401" i="2"/>
  <c r="B2415" i="2"/>
  <c r="B3765" i="2"/>
  <c r="B3830" i="2"/>
  <c r="B2885" i="2"/>
  <c r="B264" i="2"/>
  <c r="B2346" i="2"/>
  <c r="B1794" i="2"/>
  <c r="B240" i="2"/>
  <c r="B4040" i="2"/>
  <c r="B3729" i="2"/>
  <c r="B3726" i="2"/>
  <c r="B2055" i="2"/>
  <c r="B3619" i="2"/>
  <c r="B280" i="2"/>
  <c r="B2355" i="2"/>
  <c r="B3337" i="2"/>
  <c r="B3520" i="2"/>
  <c r="B2193" i="2"/>
  <c r="B3295" i="2"/>
  <c r="B3969" i="2"/>
  <c r="B851" i="2"/>
  <c r="B1994" i="2"/>
  <c r="B1022" i="2"/>
  <c r="B1667" i="2"/>
  <c r="B883" i="2"/>
  <c r="B855" i="2"/>
  <c r="B2476" i="2"/>
  <c r="B2490" i="2"/>
  <c r="B1759" i="2"/>
  <c r="B1897" i="2"/>
  <c r="B745" i="2"/>
  <c r="B2951" i="2"/>
  <c r="B3027" i="2"/>
  <c r="B2866" i="2"/>
  <c r="B2130" i="2"/>
  <c r="B400" i="2"/>
  <c r="B905" i="2"/>
  <c r="B399" i="2"/>
  <c r="B4014" i="2"/>
  <c r="B3185" i="2"/>
  <c r="B937" i="2"/>
  <c r="B657" i="2"/>
  <c r="B2371" i="2"/>
  <c r="B290" i="2"/>
  <c r="B3512" i="2"/>
  <c r="B3184" i="2"/>
  <c r="B2815" i="2"/>
  <c r="B398" i="2"/>
  <c r="B942" i="2"/>
  <c r="B3912" i="2"/>
  <c r="B1457" i="2"/>
  <c r="B901" i="2"/>
  <c r="B335" i="2"/>
  <c r="B870" i="2"/>
  <c r="B3183" i="2"/>
  <c r="B2310" i="2"/>
  <c r="B233" i="2"/>
  <c r="B1215" i="2"/>
  <c r="B2332" i="2"/>
  <c r="B294" i="2"/>
  <c r="B2814" i="2"/>
  <c r="B3413" i="2"/>
  <c r="B529" i="2"/>
  <c r="B1338" i="2"/>
  <c r="B1067" i="2"/>
  <c r="B1066" i="2"/>
  <c r="B1448" i="2"/>
  <c r="B1791" i="2"/>
  <c r="B3618" i="2"/>
  <c r="B3486" i="2"/>
  <c r="B648" i="2"/>
  <c r="B3696" i="2"/>
  <c r="B2787" i="2"/>
  <c r="B696" i="2"/>
  <c r="B4107" i="2"/>
  <c r="B220" i="2"/>
  <c r="B2497" i="2"/>
  <c r="B1922" i="2"/>
  <c r="B2110" i="2"/>
  <c r="B1989" i="2"/>
  <c r="B4004" i="2"/>
  <c r="B3922" i="2"/>
  <c r="B2418" i="2"/>
  <c r="B3990" i="2"/>
  <c r="B1826" i="2"/>
  <c r="B1816" i="2"/>
  <c r="B1815" i="2"/>
  <c r="B1811" i="2"/>
  <c r="B1814" i="2"/>
  <c r="B1810" i="2"/>
  <c r="B1813" i="2"/>
  <c r="B1825" i="2"/>
  <c r="B3412" i="2"/>
  <c r="B3964" i="2"/>
  <c r="B3519" i="2"/>
  <c r="B3336" i="2"/>
  <c r="B3182" i="2"/>
  <c r="B3366" i="2"/>
  <c r="B1436" i="2"/>
  <c r="B3294" i="2"/>
  <c r="B296" i="2"/>
  <c r="B2331" i="2"/>
  <c r="B1982" i="2"/>
  <c r="B660" i="2"/>
  <c r="B662" i="2"/>
  <c r="B868" i="2"/>
  <c r="B4073" i="2"/>
  <c r="B2399" i="2"/>
  <c r="B274" i="2"/>
  <c r="B4074" i="2"/>
  <c r="B1435" i="2"/>
  <c r="B3092" i="2"/>
  <c r="B1770" i="2"/>
  <c r="B2825" i="2"/>
  <c r="B1191" i="2"/>
  <c r="B862" i="2"/>
  <c r="B3147" i="2"/>
  <c r="B2382" i="2"/>
  <c r="B310" i="2"/>
  <c r="B610" i="2"/>
  <c r="B3491" i="2"/>
  <c r="B3752" i="2"/>
  <c r="B3700" i="2"/>
  <c r="B361" i="2"/>
  <c r="B2102" i="2"/>
  <c r="B3664" i="2"/>
  <c r="B3430" i="2"/>
  <c r="B3589" i="2"/>
  <c r="B4054" i="2"/>
  <c r="B3660" i="2"/>
  <c r="B1210" i="2"/>
  <c r="B1466" i="2"/>
  <c r="B1898" i="2"/>
  <c r="B317" i="2"/>
  <c r="B2432" i="2"/>
  <c r="B3518" i="2"/>
  <c r="B3335" i="2"/>
  <c r="B4043" i="2"/>
  <c r="B2504" i="2"/>
  <c r="B3181" i="2"/>
  <c r="B3691" i="2"/>
  <c r="B4047" i="2"/>
  <c r="B904" i="2"/>
  <c r="B707" i="2"/>
  <c r="B4019" i="2"/>
  <c r="B2309" i="2"/>
  <c r="B528" i="2"/>
  <c r="B1155" i="2"/>
  <c r="B1065" i="2"/>
  <c r="B4065" i="2"/>
  <c r="B2543" i="2"/>
  <c r="B2585" i="2"/>
  <c r="B3136" i="2"/>
  <c r="B1824" i="2"/>
  <c r="B838" i="2"/>
  <c r="B2007" i="2"/>
  <c r="B2682" i="2"/>
  <c r="B3617" i="2"/>
  <c r="B223" i="2"/>
  <c r="B2295" i="2"/>
  <c r="B2386" i="2"/>
  <c r="B246" i="2"/>
  <c r="B289" i="2"/>
  <c r="B2380" i="2"/>
  <c r="B4035" i="2"/>
  <c r="B2384" i="2"/>
  <c r="B2421" i="2"/>
  <c r="B3616" i="2"/>
  <c r="B527" i="2"/>
  <c r="B1064" i="2"/>
  <c r="B1154" i="2"/>
  <c r="B1337" i="2"/>
  <c r="B668" i="2"/>
  <c r="B3681" i="2"/>
  <c r="B2181" i="2"/>
  <c r="B3984" i="2"/>
  <c r="B1053" i="2"/>
  <c r="B1292" i="2"/>
  <c r="B99" i="2"/>
  <c r="B3938" i="2"/>
  <c r="B4030" i="2"/>
  <c r="B2694" i="2"/>
  <c r="B2011" i="2"/>
  <c r="B272" i="2"/>
  <c r="B2412" i="2"/>
  <c r="B3334" i="2"/>
  <c r="B3517" i="2"/>
  <c r="B265" i="2"/>
  <c r="B2324" i="2"/>
  <c r="B2761" i="2"/>
  <c r="B4064" i="2"/>
  <c r="B2406" i="2"/>
  <c r="B4016" i="2"/>
  <c r="B3948" i="2"/>
  <c r="B1492" i="2"/>
  <c r="B3975" i="2"/>
  <c r="B1927" i="2"/>
  <c r="B338" i="2"/>
  <c r="B1246" i="2"/>
  <c r="B3452" i="2"/>
  <c r="B2392" i="2"/>
  <c r="B970" i="2"/>
  <c r="B2020" i="2"/>
  <c r="B2704" i="2"/>
  <c r="B3569" i="2"/>
  <c r="B1944" i="2"/>
  <c r="B3180" i="2"/>
  <c r="B2817" i="2"/>
  <c r="B3277" i="2"/>
  <c r="B621" i="2"/>
  <c r="B954" i="2"/>
  <c r="B1976" i="2"/>
  <c r="B2048" i="2"/>
  <c r="B2730" i="2"/>
  <c r="B3411" i="2"/>
  <c r="B340" i="2"/>
  <c r="B3009" i="2"/>
  <c r="B3979" i="2"/>
  <c r="B1052" i="2"/>
  <c r="B1291" i="2"/>
  <c r="B3615" i="2"/>
  <c r="B2527" i="2"/>
  <c r="B263" i="2"/>
  <c r="B2308" i="2"/>
  <c r="B3293" i="2"/>
  <c r="B2780" i="2"/>
  <c r="B3505" i="2"/>
  <c r="B1873" i="2"/>
  <c r="B3269" i="2"/>
  <c r="B2318" i="2"/>
  <c r="B397" i="2"/>
  <c r="B1790" i="2"/>
  <c r="B3937" i="2"/>
  <c r="B667" i="2"/>
  <c r="B3179" i="2"/>
  <c r="B3178" i="2"/>
  <c r="B1227" i="2"/>
  <c r="B1226" i="2"/>
  <c r="B3780" i="2"/>
  <c r="B2317" i="2"/>
  <c r="B239" i="2"/>
  <c r="B1290" i="2"/>
  <c r="B467" i="2"/>
  <c r="B681" i="2"/>
  <c r="B3410" i="2"/>
  <c r="B1444" i="2"/>
  <c r="B2420" i="2"/>
  <c r="B786" i="2"/>
  <c r="B2439" i="2"/>
  <c r="B3396" i="2"/>
  <c r="B3010" i="2"/>
  <c r="B3673" i="2"/>
  <c r="B3665" i="2"/>
  <c r="B4141" i="2"/>
  <c r="B879" i="2"/>
  <c r="B2307" i="2"/>
  <c r="B2063" i="2"/>
  <c r="B2722" i="2"/>
  <c r="B3451" i="2"/>
  <c r="B4129" i="2"/>
  <c r="B1393" i="2"/>
  <c r="B612" i="2"/>
  <c r="B2430" i="2"/>
  <c r="B258" i="2"/>
  <c r="B3683" i="2"/>
  <c r="B665" i="2"/>
  <c r="B3936" i="2"/>
  <c r="B1446" i="2"/>
  <c r="B3177" i="2"/>
  <c r="B3401" i="2"/>
  <c r="B3998" i="2"/>
  <c r="B1132" i="2"/>
  <c r="B3698" i="2"/>
  <c r="B396" i="2"/>
  <c r="B2695" i="2"/>
  <c r="B2015" i="2"/>
  <c r="B2984" i="2"/>
  <c r="B4080" i="2"/>
  <c r="B3904" i="2"/>
  <c r="B4068" i="2"/>
  <c r="B2026" i="2"/>
  <c r="B2680" i="2"/>
  <c r="B3889" i="2"/>
  <c r="B2375" i="2"/>
  <c r="B4072" i="2"/>
  <c r="B4036" i="2"/>
  <c r="B3614" i="2"/>
  <c r="B878" i="2"/>
  <c r="B2510" i="2"/>
  <c r="B232" i="2"/>
  <c r="B2306" i="2"/>
  <c r="B2391" i="2"/>
  <c r="B2532" i="2"/>
  <c r="B2248" i="2"/>
  <c r="B1557" i="2"/>
  <c r="B3463" i="2"/>
  <c r="B1461" i="2"/>
  <c r="B3863" i="2"/>
  <c r="B3682" i="2"/>
  <c r="B958" i="2"/>
  <c r="B1587" i="2"/>
  <c r="B2460" i="2"/>
  <c r="B390" i="2"/>
  <c r="B1484" i="2"/>
  <c r="B1598" i="2"/>
  <c r="B807" i="2"/>
  <c r="B1204" i="2"/>
  <c r="B769" i="2"/>
  <c r="B1778" i="2"/>
  <c r="B975" i="2"/>
  <c r="B1614" i="2"/>
  <c r="B3292" i="2"/>
  <c r="B4063" i="2"/>
  <c r="B1051" i="2"/>
  <c r="B3947" i="2"/>
  <c r="B3884" i="2"/>
  <c r="B3892" i="2"/>
  <c r="B3154" i="2"/>
  <c r="B360" i="2"/>
  <c r="B2873" i="2"/>
  <c r="B4028" i="2"/>
  <c r="B3702" i="2"/>
  <c r="B2358" i="2"/>
  <c r="B251" i="2"/>
  <c r="B3156" i="2"/>
  <c r="B3025" i="2"/>
  <c r="B2791" i="2"/>
  <c r="B1915" i="2"/>
  <c r="B3721" i="2"/>
  <c r="B2779" i="2"/>
  <c r="B395" i="2"/>
  <c r="B4083" i="2"/>
  <c r="B1432" i="2"/>
  <c r="B2035" i="2"/>
  <c r="B394" i="2"/>
  <c r="B1568" i="2"/>
  <c r="B3533" i="2"/>
  <c r="B4050" i="2"/>
  <c r="B4032" i="2"/>
  <c r="B364" i="2"/>
  <c r="B988" i="2"/>
  <c r="B1916" i="2"/>
  <c r="B4053" i="2"/>
  <c r="B3490" i="2"/>
  <c r="B3935" i="2"/>
  <c r="B1449" i="2"/>
  <c r="B2737" i="2"/>
  <c r="B2017" i="2"/>
  <c r="B3176" i="2"/>
  <c r="B1245" i="2"/>
  <c r="B4038" i="2"/>
  <c r="B2813" i="2"/>
  <c r="B293" i="2"/>
  <c r="B2325" i="2"/>
  <c r="B1443" i="2"/>
  <c r="B4108" i="2"/>
  <c r="B3175" i="2"/>
  <c r="B2154" i="2"/>
  <c r="B3989" i="2"/>
  <c r="B3592" i="2"/>
  <c r="B3174" i="2"/>
  <c r="B3173" i="2"/>
  <c r="B1742" i="2"/>
  <c r="B2830" i="2"/>
  <c r="B2305" i="2"/>
  <c r="B243" i="2"/>
  <c r="B2116" i="2"/>
  <c r="B3976" i="2"/>
  <c r="B3496" i="2"/>
  <c r="B393" i="2"/>
  <c r="B3409" i="2"/>
  <c r="B3972" i="2"/>
  <c r="B392" i="2"/>
  <c r="B2411" i="2"/>
  <c r="B2847" i="2"/>
  <c r="B2434" i="2"/>
  <c r="B3508" i="2"/>
  <c r="B45" i="2"/>
  <c r="B3613" i="2"/>
  <c r="B2470" i="2"/>
  <c r="B120" i="2"/>
  <c r="B2479" i="2"/>
  <c r="B1760" i="2"/>
  <c r="B2095" i="2"/>
  <c r="B2372" i="2"/>
  <c r="B308" i="2"/>
  <c r="B4044" i="2"/>
  <c r="B3493" i="2"/>
  <c r="B297" i="2"/>
  <c r="B2423" i="2"/>
  <c r="B1181" i="2"/>
  <c r="B3039" i="2"/>
  <c r="B2954" i="2"/>
  <c r="B619" i="2"/>
  <c r="B277" i="2"/>
  <c r="B3996" i="2"/>
  <c r="B2352" i="2"/>
  <c r="B3987" i="2"/>
  <c r="B367" i="2"/>
  <c r="B2429" i="2"/>
  <c r="B3276" i="2"/>
  <c r="B4057" i="2"/>
  <c r="B2072" i="2"/>
  <c r="B2707" i="2"/>
  <c r="B2359" i="2"/>
  <c r="B295" i="2"/>
  <c r="B2998" i="2"/>
  <c r="B1437" i="2"/>
  <c r="B4087" i="2"/>
  <c r="B1987" i="2"/>
  <c r="B663" i="2"/>
  <c r="B287" i="2"/>
  <c r="B2350" i="2"/>
  <c r="B640" i="2"/>
  <c r="B2417" i="2"/>
  <c r="B3367" i="2"/>
  <c r="B3542" i="2"/>
  <c r="B3172" i="2"/>
  <c r="B3537" i="2"/>
  <c r="B874" i="2"/>
  <c r="B3268" i="2"/>
  <c r="B3728" i="2"/>
  <c r="B562" i="2"/>
  <c r="B2304" i="2"/>
  <c r="B2376" i="2"/>
  <c r="B3472" i="2"/>
  <c r="B2753" i="2"/>
  <c r="B4056" i="2"/>
  <c r="B4023" i="2"/>
  <c r="B391" i="2"/>
  <c r="B3801" i="2"/>
  <c r="B1798" i="2"/>
  <c r="B4052" i="2"/>
  <c r="B2341" i="2"/>
  <c r="B300" i="2"/>
  <c r="B4001" i="2"/>
  <c r="B2393" i="2"/>
  <c r="B1780" i="2"/>
  <c r="B2151" i="2"/>
  <c r="B3967" i="2"/>
  <c r="B4105" i="2"/>
  <c r="B2303" i="2"/>
  <c r="B886" i="2"/>
  <c r="B2050" i="2"/>
  <c r="B2699" i="2"/>
  <c r="B3934" i="2"/>
  <c r="B3132" i="2"/>
  <c r="B2438" i="2"/>
  <c r="B3958" i="2"/>
  <c r="B1744" i="2"/>
  <c r="B2032" i="2"/>
  <c r="B2711" i="2"/>
  <c r="B3933" i="2"/>
  <c r="B2322" i="2"/>
  <c r="B255" i="2"/>
  <c r="B2201" i="2"/>
  <c r="B818" i="2"/>
  <c r="B986" i="2"/>
  <c r="B3982" i="2"/>
  <c r="B334" i="2"/>
  <c r="B3450" i="2"/>
  <c r="B1289" i="2"/>
  <c r="B4021" i="2"/>
  <c r="B4069" i="2"/>
  <c r="B4045" i="2"/>
  <c r="B1440" i="2"/>
  <c r="B4002" i="2"/>
  <c r="B4067" i="2"/>
  <c r="B2302" i="2"/>
  <c r="B2441" i="2"/>
  <c r="B811" i="2"/>
  <c r="B2451" i="2"/>
  <c r="B89" i="2"/>
  <c r="B269" i="2"/>
  <c r="B2353" i="2"/>
  <c r="B4055" i="2"/>
  <c r="B2558" i="2"/>
  <c r="B2719" i="2"/>
  <c r="B2027" i="2"/>
  <c r="B2560" i="2"/>
  <c r="B3449" i="2"/>
  <c r="B307" i="2"/>
  <c r="B2398" i="2"/>
  <c r="B3072" i="2"/>
  <c r="B3480" i="2"/>
  <c r="B3895" i="2"/>
  <c r="B3171" i="2"/>
  <c r="B3844" i="2"/>
  <c r="B3023" i="2"/>
  <c r="B1995" i="2"/>
  <c r="B2686" i="2"/>
  <c r="B3566" i="2"/>
  <c r="B3170" i="2"/>
  <c r="B158" i="2"/>
  <c r="B2233" i="2"/>
  <c r="B1636" i="2"/>
  <c r="B3985" i="2"/>
  <c r="B1177" i="2"/>
  <c r="B3977" i="2"/>
  <c r="B4110" i="2"/>
  <c r="B4081" i="2"/>
  <c r="B3333" i="2"/>
  <c r="B2301" i="2"/>
  <c r="B231" i="2"/>
  <c r="B249" i="2"/>
  <c r="B2369" i="2"/>
  <c r="B4024" i="2"/>
  <c r="B4095" i="2"/>
  <c r="B2509" i="2"/>
  <c r="B3759" i="2"/>
  <c r="B342" i="2"/>
  <c r="B3275" i="2"/>
  <c r="B466" i="2"/>
  <c r="B1288" i="2"/>
  <c r="B324" i="2"/>
  <c r="B1899" i="2"/>
  <c r="B3932" i="2"/>
  <c r="B4022" i="2"/>
  <c r="B283" i="2"/>
  <c r="B2367" i="2"/>
  <c r="B3448" i="2"/>
  <c r="B526" i="2"/>
  <c r="B262" i="2"/>
  <c r="B2402" i="2"/>
  <c r="B254" i="2"/>
  <c r="B2321" i="2"/>
  <c r="B1237" i="2"/>
  <c r="B261" i="2"/>
  <c r="B2348" i="2"/>
  <c r="B124" i="2"/>
  <c r="B2144" i="2"/>
  <c r="B2147" i="2"/>
  <c r="B1362" i="2"/>
  <c r="B549" i="2"/>
  <c r="B2431" i="2"/>
  <c r="B1183" i="2"/>
  <c r="B915" i="2"/>
  <c r="B3469" i="2"/>
  <c r="B2388" i="2"/>
  <c r="B301" i="2"/>
  <c r="B2437" i="2"/>
  <c r="B1024" i="2"/>
  <c r="B3507" i="2"/>
  <c r="B4049" i="2"/>
  <c r="B3264" i="2"/>
  <c r="B3487" i="2"/>
  <c r="B3697" i="2"/>
  <c r="B1117" i="2"/>
  <c r="B2333" i="2"/>
  <c r="B291" i="2"/>
  <c r="B3429" i="2"/>
  <c r="B3482" i="2"/>
  <c r="B1277" i="2"/>
  <c r="B3534" i="2"/>
  <c r="B3657" i="2"/>
  <c r="B3169" i="2"/>
  <c r="B1465" i="2"/>
  <c r="B1975" i="2"/>
  <c r="B247" i="2"/>
  <c r="B316" i="2"/>
  <c r="B2408" i="2"/>
  <c r="B2300" i="2"/>
  <c r="B1110" i="2"/>
  <c r="B2365" i="2"/>
  <c r="B299" i="2"/>
  <c r="B3447" i="2"/>
  <c r="B1594" i="2"/>
  <c r="B238" i="2"/>
  <c r="B3931" i="2"/>
  <c r="B940" i="2"/>
  <c r="B687" i="2"/>
  <c r="B2878" i="2"/>
  <c r="B3003" i="2"/>
  <c r="B2159" i="2"/>
  <c r="B2484" i="2"/>
  <c r="B3516" i="2"/>
  <c r="B3332" i="2"/>
  <c r="B3970" i="2"/>
  <c r="B2501" i="2"/>
  <c r="B2832" i="2"/>
  <c r="B1752" i="2"/>
  <c r="B965" i="2"/>
  <c r="B1586" i="2"/>
  <c r="B1613" i="2"/>
  <c r="B1777" i="2"/>
  <c r="B1203" i="2"/>
  <c r="B1483" i="2"/>
  <c r="B976" i="2"/>
  <c r="B1597" i="2"/>
  <c r="B3963" i="2"/>
  <c r="B2410" i="2"/>
  <c r="B3917" i="2"/>
  <c r="B3046" i="2"/>
  <c r="B3168" i="2"/>
  <c r="B2291" i="2"/>
  <c r="B561" i="2"/>
  <c r="B1378" i="2"/>
  <c r="B4012" i="2"/>
  <c r="B10" i="2"/>
  <c r="B3893" i="2"/>
  <c r="B2379" i="2"/>
  <c r="B1198" i="2"/>
  <c r="B2330" i="2"/>
  <c r="B322" i="2"/>
  <c r="B2396" i="2"/>
  <c r="B2812" i="2"/>
  <c r="B4082" i="2"/>
  <c r="B2670" i="2"/>
  <c r="B271" i="2"/>
  <c r="B2360" i="2"/>
  <c r="B2526" i="2"/>
  <c r="B1515" i="2"/>
  <c r="B1470" i="2"/>
  <c r="B1730" i="2"/>
  <c r="B701" i="2"/>
  <c r="B759" i="2"/>
  <c r="B793" i="2"/>
  <c r="B3446" i="2"/>
  <c r="B2997" i="2"/>
  <c r="B4149" i="2"/>
  <c r="B3930" i="2"/>
  <c r="B2119" i="2"/>
  <c r="B4026" i="2"/>
  <c r="B2029" i="2"/>
  <c r="B2700" i="2"/>
  <c r="B2419" i="2"/>
  <c r="B652" i="2"/>
  <c r="B125" i="2"/>
  <c r="B65" i="2"/>
  <c r="B4114" i="2"/>
  <c r="B3959" i="2"/>
  <c r="B4006" i="2"/>
  <c r="B1384" i="2"/>
  <c r="B582" i="2"/>
  <c r="B3445" i="2"/>
  <c r="B3995" i="2"/>
  <c r="B1236" i="2"/>
  <c r="B3274" i="2"/>
  <c r="B3983" i="2"/>
  <c r="B3497" i="2"/>
  <c r="B2877" i="2"/>
  <c r="B2595" i="2"/>
  <c r="B2361" i="2"/>
  <c r="B244" i="2"/>
  <c r="B2216" i="2"/>
  <c r="B230" i="2"/>
  <c r="B3974" i="2"/>
  <c r="B4033" i="2"/>
  <c r="B3929" i="2"/>
  <c r="B2496" i="2"/>
  <c r="B2755" i="2"/>
  <c r="B3901" i="2"/>
  <c r="B2571" i="2"/>
  <c r="B1990" i="2"/>
  <c r="B1439" i="2"/>
  <c r="B2591" i="2"/>
  <c r="B1767" i="2"/>
  <c r="B3594" i="2"/>
  <c r="B3404" i="2"/>
  <c r="B3661" i="2"/>
  <c r="B4109" i="2"/>
  <c r="B1972" i="2"/>
  <c r="B1144" i="2"/>
  <c r="B1998" i="2"/>
  <c r="B2672" i="2"/>
  <c r="B3864" i="2"/>
  <c r="B3146" i="2"/>
  <c r="B3722" i="2"/>
  <c r="B3561" i="2"/>
  <c r="B3390" i="2"/>
  <c r="B2397" i="2"/>
  <c r="B1834" i="2"/>
  <c r="B222" i="2"/>
  <c r="B3897" i="2"/>
  <c r="B2326" i="2"/>
  <c r="B242" i="2"/>
  <c r="B2440" i="2"/>
  <c r="B3717" i="2"/>
  <c r="B250" i="2"/>
  <c r="B2299" i="2"/>
  <c r="B465" i="2"/>
  <c r="B2563" i="2"/>
  <c r="B1582" i="2"/>
  <c r="B4112" i="2"/>
  <c r="B3511" i="2"/>
  <c r="B3167" i="2"/>
  <c r="B1763" i="2"/>
  <c r="B4094" i="2"/>
  <c r="B1063" i="2"/>
  <c r="B525" i="2"/>
  <c r="B1336" i="2"/>
  <c r="B2400" i="2"/>
  <c r="B3880" i="2"/>
  <c r="B873" i="2"/>
  <c r="B4039" i="2"/>
  <c r="B4086" i="2"/>
  <c r="B2377" i="2"/>
  <c r="B1603" i="2"/>
  <c r="B2342" i="2"/>
  <c r="B268" i="2"/>
  <c r="B3457" i="2"/>
  <c r="B4017" i="2"/>
  <c r="B1118" i="2"/>
  <c r="B2054" i="2"/>
  <c r="B2845" i="2"/>
  <c r="B2436" i="2"/>
  <c r="B903" i="2"/>
  <c r="B651" i="2"/>
  <c r="B3026" i="2"/>
  <c r="B350" i="2"/>
  <c r="B850" i="2"/>
  <c r="B1796" i="2"/>
  <c r="B2628" i="2"/>
  <c r="B1806" i="2"/>
  <c r="B3263" i="2"/>
  <c r="B969" i="2"/>
  <c r="B828" i="2"/>
  <c r="B3993" i="2"/>
  <c r="B2983" i="2"/>
  <c r="B2071" i="2"/>
  <c r="B2671" i="2"/>
  <c r="B64" i="2"/>
  <c r="B4061" i="2"/>
  <c r="B302" i="2"/>
  <c r="B2334" i="2"/>
  <c r="B893" i="2"/>
  <c r="B3980" i="2"/>
  <c r="B2059" i="2"/>
  <c r="B2366" i="2"/>
  <c r="B257" i="2"/>
  <c r="B2619" i="2"/>
  <c r="B1186" i="2"/>
  <c r="B3894" i="2"/>
  <c r="B2508" i="2"/>
  <c r="B809" i="2"/>
  <c r="B2404" i="2"/>
  <c r="B2756" i="2"/>
  <c r="B3991" i="2"/>
  <c r="B3495" i="2"/>
  <c r="B2697" i="2"/>
  <c r="B3456" i="2"/>
  <c r="B464" i="2"/>
  <c r="B2339" i="2"/>
  <c r="B303" i="2"/>
  <c r="B1023" i="2"/>
  <c r="B2738" i="2"/>
  <c r="B2028" i="2"/>
  <c r="B682" i="2"/>
  <c r="B256" i="2"/>
  <c r="B2401" i="2"/>
  <c r="B2562" i="2"/>
  <c r="B1244" i="2"/>
  <c r="B3612" i="2"/>
  <c r="B4007" i="2"/>
  <c r="B1893" i="2"/>
  <c r="B2774" i="2"/>
  <c r="B762" i="2"/>
  <c r="B4000" i="2"/>
  <c r="B463" i="2"/>
  <c r="B1287" i="2"/>
  <c r="B2389" i="2"/>
  <c r="B309" i="2"/>
  <c r="B4020" i="2"/>
  <c r="B964" i="2"/>
  <c r="B3006" i="2"/>
  <c r="B370" i="2"/>
  <c r="B2275" i="2"/>
  <c r="B4102" i="2"/>
  <c r="B3960" i="2"/>
  <c r="B3398" i="2"/>
  <c r="B3584" i="2"/>
  <c r="B3874" i="2"/>
  <c r="B1335" i="2"/>
  <c r="B1153" i="2"/>
  <c r="B524" i="2"/>
  <c r="B1787" i="2"/>
  <c r="B173" i="2"/>
  <c r="B2298" i="2"/>
  <c r="B281" i="2"/>
  <c r="B848" i="2"/>
  <c r="B837" i="2"/>
  <c r="B615" i="2"/>
  <c r="B711" i="2"/>
  <c r="B860" i="2"/>
  <c r="B706" i="2"/>
  <c r="B2435" i="2"/>
  <c r="B3459" i="2"/>
  <c r="B2555" i="2"/>
  <c r="B2043" i="2"/>
  <c r="B229" i="2"/>
  <c r="B2329" i="2"/>
  <c r="B3386" i="2"/>
  <c r="B684" i="2"/>
  <c r="B1951" i="2"/>
  <c r="B3391" i="2"/>
  <c r="B3928" i="2"/>
  <c r="B736" i="2"/>
  <c r="B2450" i="2"/>
  <c r="B2492" i="2"/>
  <c r="B2533" i="2"/>
  <c r="B1195" i="2"/>
  <c r="B2277" i="2"/>
  <c r="B1917" i="2"/>
  <c r="B2536" i="2"/>
  <c r="B1929" i="2"/>
  <c r="B861" i="2"/>
  <c r="B2223" i="2"/>
  <c r="B2290" i="2"/>
  <c r="B1892" i="2"/>
  <c r="B1864" i="2"/>
  <c r="B128" i="2"/>
  <c r="B858" i="2"/>
  <c r="B2620" i="2"/>
  <c r="B2566" i="2"/>
  <c r="B3927" i="2"/>
  <c r="B2572" i="2"/>
  <c r="B23" i="2"/>
  <c r="B208" i="2"/>
  <c r="B28" i="2"/>
  <c r="B380" i="2"/>
  <c r="B3466" i="2"/>
  <c r="B2565" i="2"/>
  <c r="B3500" i="2"/>
  <c r="B2561" i="2"/>
  <c r="B787" i="2"/>
  <c r="B61" i="2"/>
  <c r="B1637" i="2"/>
  <c r="B3405" i="2"/>
  <c r="B2993" i="2"/>
  <c r="B3137" i="2"/>
  <c r="B3071" i="2"/>
  <c r="B3598" i="2"/>
  <c r="B253" i="2"/>
  <c r="B2335" i="2"/>
  <c r="B4034" i="2"/>
  <c r="B1239" i="2"/>
  <c r="B2525" i="2"/>
  <c r="B3903" i="2"/>
  <c r="B3273" i="2"/>
  <c r="B1874" i="2"/>
  <c r="B3988" i="2"/>
  <c r="B1175" i="2"/>
  <c r="B4029" i="2"/>
  <c r="B2551" i="2"/>
  <c r="B103" i="2"/>
  <c r="B4128" i="2"/>
  <c r="B4153" i="2"/>
  <c r="B2995" i="2"/>
  <c r="B81" i="2"/>
  <c r="B379" i="2"/>
  <c r="B3846" i="2"/>
  <c r="B3115" i="2"/>
  <c r="B3064" i="2"/>
  <c r="B724" i="2"/>
  <c r="B3060" i="2"/>
  <c r="B856" i="2"/>
  <c r="B102" i="2"/>
  <c r="B2549" i="2"/>
  <c r="B77" i="2"/>
  <c r="B2383" i="2"/>
  <c r="B2573" i="2"/>
  <c r="B1286" i="2"/>
  <c r="B462" i="2"/>
  <c r="B1285" i="2"/>
  <c r="B1050" i="2"/>
  <c r="B368" i="2"/>
  <c r="B2297" i="2"/>
  <c r="B1966" i="2"/>
  <c r="B1579" i="2"/>
  <c r="B1655" i="2"/>
  <c r="B1654" i="2"/>
  <c r="B2368" i="2"/>
  <c r="B292" i="2"/>
  <c r="B3479" i="2"/>
  <c r="B3986" i="2"/>
  <c r="B1765" i="2"/>
  <c r="B2458" i="2"/>
  <c r="B728" i="2"/>
  <c r="B80" i="2"/>
  <c r="B1611" i="2"/>
  <c r="B1392" i="2"/>
  <c r="B609" i="2"/>
  <c r="B3066" i="2"/>
  <c r="B3059" i="2"/>
  <c r="B3074" i="2"/>
  <c r="B93" i="2"/>
  <c r="B1802" i="2"/>
  <c r="B1829" i="2"/>
  <c r="B578" i="2"/>
  <c r="B2385" i="2"/>
  <c r="B245" i="2"/>
  <c r="B2041" i="2"/>
  <c r="B3611" i="2"/>
  <c r="B2766" i="2"/>
  <c r="B2296" i="2"/>
  <c r="B2123" i="2"/>
  <c r="B3460" i="2"/>
  <c r="B3900" i="2"/>
  <c r="B3926" i="2"/>
  <c r="B3580" i="2"/>
  <c r="B3393" i="2"/>
  <c r="B1748" i="2"/>
  <c r="B2727" i="2"/>
  <c r="B2056" i="2"/>
  <c r="B1480" i="2"/>
  <c r="B2472" i="2"/>
  <c r="B2945" i="2"/>
  <c r="B1211" i="2"/>
  <c r="B730" i="2"/>
  <c r="B761" i="2"/>
  <c r="B768" i="2"/>
  <c r="B3468" i="2"/>
  <c r="B3012" i="2"/>
  <c r="B4093" i="2"/>
  <c r="B3041" i="2"/>
  <c r="B2969" i="2"/>
  <c r="B3141" i="2"/>
  <c r="B371" i="2"/>
  <c r="B3056" i="2"/>
  <c r="B4132" i="2"/>
  <c r="B3885" i="2"/>
  <c r="B384" i="2"/>
  <c r="B1866" i="2"/>
  <c r="B2145" i="2"/>
  <c r="B1505" i="2"/>
  <c r="B1867" i="2"/>
  <c r="B775" i="2"/>
  <c r="B704" i="2"/>
  <c r="B733" i="2"/>
  <c r="B210" i="2"/>
  <c r="B1842" i="2"/>
  <c r="B353" i="2"/>
  <c r="B1014" i="2"/>
  <c r="B1723" i="2"/>
  <c r="B1821" i="2"/>
  <c r="B620" i="2"/>
  <c r="B2623" i="2"/>
  <c r="B1854" i="2"/>
  <c r="B1174" i="2"/>
  <c r="B3444" i="2"/>
  <c r="B3924" i="2"/>
  <c r="B1062" i="2"/>
  <c r="B1152" i="2"/>
  <c r="B1061" i="2"/>
  <c r="B523" i="2"/>
  <c r="B522" i="2"/>
  <c r="B1334" i="2"/>
  <c r="B1151" i="2"/>
  <c r="B2529" i="2"/>
  <c r="B3272" i="2"/>
  <c r="B4091" i="2"/>
  <c r="B3925" i="2"/>
  <c r="B3465" i="2"/>
  <c r="B2337" i="2"/>
  <c r="B248" i="2"/>
  <c r="B2280" i="2"/>
  <c r="B2279" i="2"/>
  <c r="B2278" i="2"/>
  <c r="B2074" i="2"/>
  <c r="B1631" i="2"/>
  <c r="B212" i="2"/>
  <c r="B805" i="2"/>
  <c r="B1832" i="2"/>
  <c r="B1964" i="2"/>
  <c r="B3718" i="2"/>
  <c r="B3443" i="2"/>
  <c r="B2156" i="2"/>
  <c r="B2155" i="2"/>
  <c r="B2453" i="2"/>
  <c r="B2226" i="2"/>
  <c r="B785" i="2"/>
  <c r="B2178" i="2"/>
  <c r="B3442" i="2"/>
  <c r="B3875" i="2"/>
  <c r="B355" i="2"/>
  <c r="B1629" i="2"/>
  <c r="B1630" i="2"/>
  <c r="B2742" i="2"/>
  <c r="B1988" i="2"/>
  <c r="B2528" i="2"/>
  <c r="B3583" i="2"/>
  <c r="B1201" i="2"/>
  <c r="B1043" i="2"/>
  <c r="B3271" i="2"/>
  <c r="B2530" i="2"/>
  <c r="B725" i="2"/>
  <c r="B1430" i="2"/>
  <c r="B1011" i="2"/>
  <c r="B2442" i="2"/>
  <c r="B1632" i="2"/>
  <c r="B1817" i="2"/>
  <c r="B628" i="2"/>
  <c r="B2743" i="2"/>
  <c r="B2580" i="2"/>
  <c r="B1403" i="2"/>
  <c r="B766" i="2"/>
  <c r="B2075" i="2"/>
  <c r="B2507" i="2"/>
  <c r="B3667" i="2"/>
  <c r="B3458" i="2"/>
  <c r="B2347" i="2"/>
  <c r="B3067" i="2"/>
  <c r="B2190" i="2"/>
  <c r="B4037" i="2"/>
  <c r="B863" i="2"/>
  <c r="B3007" i="2"/>
  <c r="B1974" i="2"/>
  <c r="B1733" i="2"/>
  <c r="B2482" i="2"/>
  <c r="B1762" i="2"/>
  <c r="B362" i="2"/>
  <c r="B3581" i="2"/>
  <c r="B2564" i="2"/>
  <c r="B4106" i="2"/>
  <c r="B1605" i="2"/>
  <c r="B3057" i="2"/>
  <c r="B3020" i="2"/>
  <c r="B2191" i="2"/>
  <c r="B3883" i="2"/>
  <c r="B1978" i="2"/>
  <c r="B1961" i="2"/>
  <c r="B2161" i="2"/>
  <c r="B2179" i="2"/>
  <c r="B1234" i="2"/>
  <c r="B2357" i="2"/>
  <c r="B2521" i="2"/>
  <c r="B2554" i="2"/>
  <c r="B378" i="2"/>
  <c r="B974" i="2"/>
  <c r="B1607" i="2"/>
  <c r="B973" i="2"/>
  <c r="B719" i="2"/>
  <c r="B1846" i="2"/>
  <c r="B32" i="2"/>
  <c r="B3441" i="2"/>
  <c r="B92" i="2"/>
  <c r="B1875" i="2"/>
  <c r="B372" i="2"/>
  <c r="B382" i="2"/>
  <c r="B2556" i="2"/>
  <c r="B741" i="2"/>
  <c r="B314" i="2"/>
  <c r="B1016" i="2"/>
  <c r="B1528" i="2"/>
  <c r="B135" i="2"/>
  <c r="B3004" i="2"/>
  <c r="B328" i="2"/>
  <c r="B623" i="2"/>
  <c r="B3011" i="2"/>
  <c r="B3055" i="2"/>
  <c r="B573" i="2"/>
  <c r="B767" i="2"/>
  <c r="B757" i="2"/>
  <c r="B189" i="2"/>
  <c r="B1581" i="2"/>
  <c r="B185" i="2"/>
  <c r="B1001" i="2"/>
  <c r="B1930" i="2"/>
  <c r="B352" i="2"/>
  <c r="B26" i="2"/>
  <c r="B1013" i="2"/>
  <c r="B211" i="2"/>
  <c r="B717" i="2"/>
  <c r="B3877" i="2"/>
  <c r="B2468" i="2"/>
  <c r="B891" i="2"/>
  <c r="B890" i="2"/>
  <c r="B2588" i="2"/>
  <c r="B170" i="2"/>
  <c r="B1523" i="2"/>
  <c r="B700" i="2"/>
  <c r="B1699" i="2"/>
  <c r="B2522" i="2"/>
  <c r="B31" i="2"/>
  <c r="B3440" i="2"/>
  <c r="B2531" i="2"/>
  <c r="B1734" i="2"/>
  <c r="B1590" i="2"/>
  <c r="B1853" i="2"/>
  <c r="B1818" i="2"/>
  <c r="B1563" i="2"/>
  <c r="B1731" i="2"/>
  <c r="B1931" i="2"/>
  <c r="B1861" i="2"/>
  <c r="B27" i="2"/>
  <c r="B2227" i="2"/>
  <c r="B776" i="2"/>
  <c r="B2456" i="2"/>
  <c r="B1000" i="2"/>
  <c r="B1012" i="2"/>
  <c r="B206" i="2"/>
  <c r="B1230" i="2"/>
  <c r="B351" i="2"/>
  <c r="B1504" i="2"/>
  <c r="B46" i="2"/>
  <c r="B732" i="2"/>
  <c r="B1879" i="2"/>
  <c r="B2152" i="2"/>
  <c r="B1706" i="2"/>
  <c r="B1845" i="2"/>
  <c r="B1862" i="2"/>
  <c r="B734" i="2"/>
  <c r="B1243" i="2"/>
  <c r="B3870" i="2"/>
  <c r="B1705" i="2"/>
  <c r="B1530" i="2"/>
  <c r="B2461" i="2"/>
  <c r="B2567" i="2"/>
  <c r="B716" i="2"/>
  <c r="B726" i="2"/>
  <c r="B839" i="2"/>
  <c r="B110" i="2"/>
  <c r="B94" i="2"/>
  <c r="B4127" i="2"/>
  <c r="B3668" i="2"/>
  <c r="B2523" i="2"/>
  <c r="B357" i="2"/>
  <c r="B4101" i="2"/>
  <c r="B3164" i="2"/>
  <c r="B2568" i="2"/>
  <c r="B3133" i="2"/>
  <c r="B720" i="2"/>
  <c r="B3078" i="2"/>
  <c r="B2455" i="2"/>
  <c r="B2775" i="2"/>
  <c r="B3869" i="2"/>
  <c r="B2105" i="2"/>
  <c r="B86" i="2"/>
  <c r="B79" i="2"/>
  <c r="B2031" i="2"/>
  <c r="B2770" i="2"/>
  <c r="B2467" i="2"/>
  <c r="B4092" i="2"/>
  <c r="B4142" i="2"/>
  <c r="B3601" i="2"/>
  <c r="B1517" i="2"/>
  <c r="B1212" i="2"/>
  <c r="B3845" i="2"/>
  <c r="B1914" i="2"/>
  <c r="B3002" i="2"/>
  <c r="B3730" i="2"/>
  <c r="B1467" i="2"/>
  <c r="B1725" i="2"/>
  <c r="B1820" i="2"/>
  <c r="B1635" i="2"/>
  <c r="B791" i="2"/>
  <c r="B3051" i="2"/>
  <c r="B2076" i="2"/>
  <c r="B1855" i="2"/>
  <c r="B1668" i="2"/>
  <c r="B75" i="2"/>
  <c r="B74" i="2"/>
  <c r="B121" i="2"/>
  <c r="B991" i="2"/>
  <c r="B727" i="2"/>
  <c r="B721" i="2"/>
  <c r="B722" i="2"/>
  <c r="B718" i="2"/>
  <c r="B1933" i="2"/>
  <c r="B381" i="2"/>
  <c r="B1471" i="2"/>
  <c r="B82" i="2"/>
  <c r="B798" i="2"/>
  <c r="B332" i="2"/>
  <c r="B2550" i="2"/>
  <c r="B98" i="2"/>
  <c r="B134" i="2"/>
  <c r="B3454" i="2"/>
  <c r="B803" i="2"/>
  <c r="B842" i="2"/>
  <c r="B869" i="2"/>
  <c r="B4103" i="2"/>
  <c r="B2638" i="2"/>
  <c r="B2663" i="2"/>
  <c r="B78" i="2"/>
  <c r="B73" i="2"/>
  <c r="B1819" i="2"/>
  <c r="B2831" i="2"/>
  <c r="B1653" i="2"/>
  <c r="B892" i="2"/>
  <c r="B2189" i="2"/>
  <c r="B1849" i="2"/>
  <c r="B363" i="2"/>
  <c r="B2989" i="2"/>
  <c r="B30" i="2"/>
  <c r="B794" i="2"/>
  <c r="B3148" i="2"/>
  <c r="B806" i="2"/>
  <c r="B2736" i="2"/>
  <c r="B2150" i="2"/>
  <c r="B1276" i="2"/>
  <c r="B2228" i="2"/>
  <c r="B133" i="2"/>
  <c r="B2810" i="2"/>
  <c r="B993" i="2"/>
  <c r="B3080" i="2"/>
  <c r="B2548" i="2"/>
  <c r="B191" i="2"/>
  <c r="B3049" i="2"/>
  <c r="B1593" i="2"/>
  <c r="B1192" i="2"/>
  <c r="B2570" i="2"/>
  <c r="B2294" i="2"/>
  <c r="B29" i="2"/>
  <c r="B97" i="2"/>
  <c r="B237" i="2"/>
  <c r="B2575" i="2"/>
  <c r="B2446" i="2"/>
  <c r="B2138" i="2"/>
  <c r="B1333" i="2"/>
  <c r="B982" i="2"/>
  <c r="B2124" i="2"/>
  <c r="B2982" i="2"/>
  <c r="B2861" i="2"/>
  <c r="B3462" i="2"/>
  <c r="B1727" i="2"/>
  <c r="B2614" i="2"/>
  <c r="B781" i="2"/>
  <c r="B865" i="2"/>
  <c r="B2103" i="2"/>
  <c r="B3475" i="2"/>
  <c r="B1827" i="2"/>
  <c r="B104" i="2"/>
  <c r="B3130" i="2"/>
  <c r="B347" i="2"/>
  <c r="B325" i="2"/>
  <c r="B1213" i="2"/>
  <c r="B1060" i="2"/>
  <c r="B2882" i="2"/>
  <c r="B2184" i="2"/>
  <c r="B2067" i="2"/>
  <c r="B1628" i="2"/>
  <c r="B374" i="2"/>
  <c r="B2981" i="2"/>
  <c r="B2627" i="2"/>
  <c r="B1724" i="2"/>
  <c r="B1216" i="2"/>
  <c r="B521" i="2"/>
  <c r="B2668" i="2"/>
  <c r="B995" i="2"/>
  <c r="B712" i="2"/>
  <c r="B4059" i="2"/>
  <c r="B3058" i="2"/>
  <c r="B1942" i="2"/>
  <c r="B1860" i="2"/>
  <c r="B709" i="2"/>
  <c r="B2598" i="2"/>
  <c r="B1795" i="2"/>
  <c r="B1463" i="2"/>
  <c r="B2651" i="2"/>
  <c r="B2066" i="2"/>
  <c r="B2111" i="2"/>
  <c r="B344" i="2"/>
  <c r="B705" i="2"/>
  <c r="B2833" i="2"/>
  <c r="B1755" i="2"/>
  <c r="B1188" i="2"/>
  <c r="B902" i="2"/>
  <c r="B62" i="2"/>
  <c r="B894" i="2"/>
  <c r="B3160" i="2"/>
  <c r="B1562" i="2"/>
  <c r="B948" i="2"/>
  <c r="B3138" i="2"/>
  <c r="B2594" i="2"/>
  <c r="B2624" i="2"/>
  <c r="B2846" i="2"/>
  <c r="B88" i="2"/>
  <c r="B389" i="2"/>
  <c r="B132" i="2"/>
  <c r="B1572" i="2"/>
  <c r="B1454" i="2"/>
  <c r="B2669" i="2"/>
  <c r="B207" i="2"/>
  <c r="B1506" i="2"/>
  <c r="B740" i="2"/>
  <c r="B22" i="2"/>
</calcChain>
</file>

<file path=xl/sharedStrings.xml><?xml version="1.0" encoding="utf-8"?>
<sst xmlns="http://schemas.openxmlformats.org/spreadsheetml/2006/main" count="12470" uniqueCount="4223">
  <si>
    <t>URL</t>
  </si>
  <si>
    <t>Article</t>
  </si>
  <si>
    <t>Media Outlet</t>
  </si>
  <si>
    <t>Published</t>
  </si>
  <si>
    <t>Snippet</t>
  </si>
  <si>
    <t>Look for these 9 red flags to identify ultra-processed foods</t>
  </si>
  <si>
    <t>Newsnetdaily.com</t>
  </si>
  <si>
    <t>Big packages are designed to tempt you into overeating, said Marion Nestlé, professor emeritus of nutrition, food studies and public health at New York University and author of “Soda Politics.” “If you can’t stop eating big packs, don’t buy them,” she added.</t>
  </si>
  <si>
    <t>Yogurt May Have Limited Claim to Reduce Risk of Type 2 Diabetes, FDA Says</t>
  </si>
  <si>
    <t>Marion Nestle, a nutritionist and molecular biologist, echoed Passerrello’s sentiments, adding that “qualified health claims are ridiculous on their face.”
 “Why would anyone in their right mind think that all you have to do to prevent type 2 diabetes is eat 2 cups of yogurt a week?</t>
  </si>
  <si>
    <t>Ultra-processed foods linked to early death, according to 30 years of research</t>
  </si>
  <si>
    <t>Marion Nestle , Paulette Goddard Distinguished Professor of Nutrition, Food Studies and Public Health at New York University.
 Song wouldn’t necessarily advise a complete rejection of all ultra-processed foods because it’s a diverse category, he said.</t>
  </si>
  <si>
    <t>You may be eating “predigested” foods. Here's what it means</t>
  </si>
  <si>
    <t>– Marion Nestlé, professor of nutrition, food studies and public health
An estimated 73% of the food supply in the United States is ultra-processed foods. Yet pinpointing the underlying impact of these foods on the body is difficult because almost all nutrition research is observational. … But we’re paying the price, said Marion Nestle, the Paulette Goddard Distinguished Professor of Nutrition, Food Studies and Public Health at New York University, who has written books on food industry politics.</t>
  </si>
  <si>
    <t>Pet Food II: The environmental impact</t>
  </si>
  <si>
    <t>Bitebi.com</t>
  </si>
  <si>
    <t>The post Pet Food II: The environmental impact appeared first on Food Politics by Marion Nestle.
Read MoreFood Politics by Marion Nestle</t>
  </si>
  <si>
    <t>Is yogurt effective in lowering the risk of Type 2 diabetes?</t>
  </si>
  <si>
    <t>West Observer</t>
  </si>
  <si>
    <t>Marion Nestle, a food policy expert, criticized qualified health claims based on limited evidence as "ridiculous on their face," highlighting the potential dangers of misleading consumers with unverified health claims.</t>
  </si>
  <si>
    <t>Here are the ultra-processed foods you should avoid most, according to a 30-year study</t>
  </si>
  <si>
    <t>Marion Nestle , Paulette Goddard Distinguished Professor of Nutrition, Food Studies and Public Health at New York University.
Should we get rid of all ultra-processed foods?</t>
  </si>
  <si>
    <t>The Federal Government's Role in These Milk and Pork TikTok Ads</t>
  </si>
  <si>
    <t>But Marion Nestle, a longtime critic of withholding programs, argued that scientific research was not sufficient to support such claims.</t>
  </si>
  <si>
    <t>How to sell plant-based products: Use red packaging?</t>
  </si>
  <si>
    <t>appeared first on Food Politics by Marion Nestle.
Read MoreFood Politics by Marion Nestle</t>
  </si>
  <si>
    <t>Artificial Intelligence, Ukraine, China - The Big Buzz at Davos</t>
  </si>
  <si>
    <t>Daily Charotar</t>
  </si>
  <si>
    <t>” 
— Marion Nestle, an emeritus professor of nutrition, food studies and public health at New York University, on how popular weight loss drugs like Ozempic could upend the marketing of snack foods in America.</t>
  </si>
  <si>
    <t>A brief comment on the election’s food politics</t>
  </si>
  <si>
    <t>The post A brief comment on the election’s food politics appeared first on Food Politics by Marion Nestle.
Read MoreFood Politics by Marion Nestle</t>
  </si>
  <si>
    <t>The PCAST report: a timid step forward</t>
  </si>
  <si>
    <t>The post The PCAST report: a timid step forward appeared first on Food Politics by Marion Nestle.
Read MoreFood Politics by Marion Nestle</t>
  </si>
  <si>
    <t>Resolviendo una de las grandes preguntas sobre las mascotas: si son buenas para nuestra salud o no</t>
  </si>
  <si>
    <t>CK Geek</t>
  </si>
  <si>
    <t>"Las empresas no desean llamar la atención sobre el lado más oscuro de la relación entre humanos y mascotas" - Marion Nestle, Universidad de Nueva York
Steve Feldman, presidente del instituto de Investigación de Vínculos Humanos y Animales, financiado por la industria del cuidado de mascotas, afirmó</t>
  </si>
  <si>
    <t>HMN 2024: Nutritionists weigh in on US dietary guidelines</t>
  </si>
  <si>
    <t>Health Medicine Network</t>
  </si>
  <si>
    <t>Overall, the recommendations for the 2025-2030 Dietary Guidelines for Americans sound familiar, said Marion Nestle, a food policy expert.</t>
  </si>
  <si>
    <t>Useful tips to speed up weight loss after 40</t>
  </si>
  <si>
    <t>Meta Jaun News</t>
  </si>
  <si>
    <t>Marion Nestle in American Journal of Public Health in 2021, they found that portion sizes of unhealthy processed foods are five times larger than in the past. Since it is difficult to avoid all processed foods, Dr.</t>
  </si>
  <si>
    <t>How public health officials quickly traced the source of the E. coli at McDonald's</t>
  </si>
  <si>
    <t>Determining the root cause of a foodborne illness outbreak is “really difficult, very difficult work,” said Marion Nestle, professor emeritus of nutrition, food studies and public health at New York University. .</t>
  </si>
  <si>
    <t>How the food industry exerts influence V: Professional journals (Infant formula companies)</t>
  </si>
  <si>
    <t>The post How the food industry exerts influence V: Professional journals (Infant formula companies) appeared first on Food Politics by Marion Nestle.
Read MoreFood Politics by Marion Nestle</t>
  </si>
  <si>
    <t>6 food trends to watch in 2024</t>
  </si>
  <si>
    <t>Web Times</t>
  </si>
  <si>
    <t>Marion Nestle, a former professor of food studies and public health at New York University, said consumers will continue shifting toward breakfast options that do not require much preparation, like power bars.</t>
  </si>
  <si>
    <t>FDA allows health claim on yogurts, sugary and not</t>
  </si>
  <si>
    <t>The post FDA allows health claim on yogurts, sugary and not appeared first on Food Politics by Marion Nestle.
Read MoreFood Politics by Marion Nestle</t>
  </si>
  <si>
    <t>Bitcoin, Tech, Bio News and Insights</t>
  </si>
  <si>
    <t>¿El yogurt puede reducir el riesgo de diabetes tipo 2?</t>
  </si>
  <si>
    <t>larevistadiaria.com</t>
  </si>
  <si>
    <t>Marion Nestlé, experta en políticas alimentarias, dijo que las afirmaciones calificadas sobre propiedades saludables basadas en evidencia limitada son “ridículas a primera vista”. (AP)</t>
  </si>
  <si>
    <t>Industry partnership of the week: Kentucky Beef and Public Health Associations</t>
  </si>
  <si>
    <t>The post Industry partnership of the week: Kentucky Beef and Public Health Associations appeared first on Food Politics by Marion Nestle.
Read MoreFood Politics by Marion Nestle</t>
  </si>
  <si>
    <t>Weekend reading: the ironies of drinking fluid milk</t>
  </si>
  <si>
    <t>The post Weekend reading: the ironies of drinking fluid milk appeared first on Food Politics by Marion Nestle.
Read MoreFood Politics by Marion Nestle</t>
  </si>
  <si>
    <t>Why experts say there's 'no such thing' as healthy chocolate</t>
  </si>
  <si>
    <t>Usa Jaun News</t>
  </si>
  <si>
    <t>But Dr Marion Nestle, a professor emeritus at New York University and nutritionist, has told DailyMail.com there is so little of this nutrient in the bars that someone would have to eat 'immoderate' amounts in order to get enough.</t>
  </si>
  <si>
    <t>Weekend reading: IPES Food—Food from Somewhere - Bitcoin, Tech, Bio News and Insights</t>
  </si>
  <si>
    <t>The post Weekend reading: IPES Food—Food from Somewhere appeared first on Food Politics by Marion Nestle.
Read MoreFood Politics by Marion Nestle</t>
  </si>
  <si>
    <t>Ultra-processed food is tasty and easy. Is it bad for you?</t>
  </si>
  <si>
    <t>Ultra-processed foods, said nutritionist Marion Nestle, are "industrially produced foods formulated to be irresistibly delicious that can't be made in home kitchens."
This category can include many breakfast cereals, yogurts, chicken nuggets and plant-based meat alternatives.</t>
  </si>
  <si>
    <t>Industry sponsored marketing of the week: Honey</t>
  </si>
  <si>
    <t>The post Industry sponsored marketing of the week: Honey appeared first on Food Politics by Marion Nestle.
Read MoreFood Politics by Marion Nestle</t>
  </si>
  <si>
    <t>Can Yogurt Reduce the Risk of Type 2 Diabetes?</t>
  </si>
  <si>
    <t>The Jewish Voice (New York)</t>
  </si>
  <si>
    <t>Marion Nestle, a food policy expert, said qualified health claims based on limited evidence are “ridiculous on their face.”</t>
  </si>
  <si>
    <t>Digging into Farm Bill proposals: Is public health possible?</t>
  </si>
  <si>
    <t>Industry-funded opinion of the week: Against the benefits of plant-based diets</t>
  </si>
  <si>
    <t>The post Industry-funded opinion of the week: Against the benefits of plant-based diets appeared first on Food Politics by Marion Nestle.
Read MoreFood Politics by Marion Nestle</t>
  </si>
  <si>
    <t>Dietary guidelines III. They haven’t changed since the late 1950s</t>
  </si>
  <si>
    <t>They haven’t changed since the late 1950s appeared first on Food Politics by Marion Nestle.
Read MoreFood Politics by Marion Nestle</t>
  </si>
  <si>
    <t>Weekend reading: WHO on Commercial Determinants of NCDs</t>
  </si>
  <si>
    <t>The post Weekend reading: WHO on Commercial Determinants of NCDs appeared first on Food Politics by Marion Nestle.
Read MoreFood Politics by Marion Nestle</t>
  </si>
  <si>
    <t>Can RFK Jr make America's diet healthy again?</t>
  </si>
  <si>
    <t>KamuMedya</t>
  </si>
  <si>
    <t>“What he's suggesting is taking on the food industry,” said former New York University nutrition professor Marion Nestle. “Will Trump back him up on that? I’ll believe it when I see it.”</t>
  </si>
  <si>
    <t>Good news: The Kroger-Albertson’s acquisition is not going to happen</t>
  </si>
  <si>
    <t>The post Good news: The Kroger-Albertson’s acquisition is not going to happen appeared first on Food Politics by Marion Nestle.
Read MoreFood Politics by Marion Nestle</t>
  </si>
  <si>
    <t>Yogurt Can Now Claim It May Reduce the Risk of Diabetes</t>
  </si>
  <si>
    <t>Beatlyzer</t>
  </si>
  <si>
    <t>Marion Nestle, a nutrient argumentation expert, said qualified wellness claims based connected constricted grounds are “ridiculous connected their face.”
“Translation: If you want to judge this, spell ahead, but it's not connected nan ground of evidence,” she said.</t>
  </si>
  <si>
    <t>Beef industry request for research proposals: act quickly (not an April 1 joke)</t>
  </si>
  <si>
    <t>The post Beef industry request for research proposals: act quickly (not an April 1 joke) appeared first on Food Politics by Marion Nestle.
Read MoreFood Politics by Marion Nestle</t>
  </si>
  <si>
    <t>Is this coffee pouch being sold in NYC more like 'Capri Sun' or a 'colostomy bag'?</t>
  </si>
  <si>
    <t>PostX News</t>
  </si>
  <si>
    <t>Marion Nestle, an NYU professor of health and nutrition, wondered if the appeal was “part of a general trend toward infantilization.”
“I can only speculate,” she said. “Kids get to drink from pouches, so why not me too?”</t>
  </si>
  <si>
    <t>Yogurts can make limited claim that the food reduces risk of type 2 diabetes, FDA says</t>
  </si>
  <si>
    <t>Airdrie City View</t>
  </si>
  <si>
    <t>Industry-funded study of the week: Prunes</t>
  </si>
  <si>
    <t>The post Industry-funded study of the week: Prunes appeared first on Food Politics by Marion Nestle.
Read MoreFood Politics by Marion Nestle</t>
  </si>
  <si>
    <t>Just how bad are ultraprocessed foods? Here are 5 things to know</t>
  </si>
  <si>
    <t>Marion Nestle told CNN Medical Correspondent Meg Tirrell connected nan Chasing Life podcast recently. Nestle is nan Paulette Goddard Professor of nutrition, nutrient studies and nationalist health, emerita, astatine New York University.</t>
  </si>
  <si>
    <t>The outbreak has spread across 29 states, with 59… Continue Reading
The post Edibles: a roundup of items appeared first on Food Politics by Marion Nestle.
Read MoreFood Politics by Marion Nestle</t>
  </si>
  <si>
    <t>Industry-funded study of the week: microalgae of all thins</t>
  </si>
  <si>
    <t>The post Industry-funded study of the week: microalgae of all thins appeared first on Food Politics by Marion Nestle.
Read MoreFood Politics by Marion Nestle</t>
  </si>
  <si>
    <t>The post Mac &amp; Cheese sales down: blame SNAP appeared first on Food Politics by Marion Nestle.
Read MoreFood Politics by Marion Nestle</t>
  </si>
  <si>
    <t>Here are the ultraprocessed foods you most need to avoid, according to a 30-year study</t>
  </si>
  <si>
    <t>Marion Nestle, the Paulette Goddard professor emerita of nutrition, food studies and public health at New York University.
Song wouldn’t necessarily advise a complete rejection of all ultraprocessed foods because it is a diverse category, he said.</t>
  </si>
  <si>
    <t>Food politics at the Olympics: Kick Big Soda Out</t>
  </si>
  <si>
    <t>The post Food politics at the Olympics: Kick Big Soda Out appeared first on Food Politics by Marion Nestle.
Read MoreFood Politics by Marion Nestle</t>
  </si>
  <si>
    <t>RFK Jr.'s to-do list to make America 'healthy' has health experts worried</t>
  </si>
  <si>
    <t>and address diet-related chronic diseases, stopping corporate power, eliminating conflicts of interest between industry and government, getting toxic chemicals out of the food supply, and doing everything possible to refocus the food environment and dietary advice on health,” food policy researcher Marion … Nestle wrote on her Food Politics blog.</t>
  </si>
  <si>
    <t>Movie Review: ‘Food, Inc. 2’ revisits food system, sees reason for frustration and a little hope</t>
  </si>
  <si>
    <t>Marion Nestle, biologist and nutritionist at New York University, looks back a few decades and marvels at how food has has become something available anytime, anywhere: “You go into a clothing store and there are candy bars at the checkout counter."</t>
  </si>
  <si>
    <t>Weekend reading: Eric Schlosser on our cartel food system</t>
  </si>
  <si>
    <t>The post Weekend reading: Eric Schlosser on our cartel food system appeared first on Food Politics by Marion Nestle.
Read MoreFood Politics by Marion Nestle</t>
  </si>
  <si>
    <t>Healthier alternatives to Valentine's Day candy : NPR – United States KNews.MEDIA</t>
  </si>
  <si>
    <t>US.Knews.Media</t>
  </si>
  <si>
    <t>It’s also quite salty and high in fat, so it falls in the category of enjoy in moderation,” said Marion Nestle, professor of nutrition, food studies and public health at New York University, in an email to NPR.
Stay away from the overly processed kind, which tends to be higher in sodium.</t>
  </si>
  <si>
    <t>Why experts say there's 'no such thing' as healthy chocolate — and the $20 'raw' and extra dark varieties are just as bad as Hershey's</t>
  </si>
  <si>
    <t>But Dr Marion Nestle, professor emeritus at New York University and nutritionist, told DailyMail.com there was so little of the nutrient in the bars that someone would have to eat “immoderate” amounts of them to have enough.</t>
  </si>
  <si>
    <t>Despite Ozempic and RFK Jr., Uncrustables and Twinkies believe “very strongly that snacking continues”</t>
  </si>
  <si>
    <t>“The food industry should be shaking, but they don’t think that’s going to happen,” Marion Nestle, an authority on nutrition and food policy at New York University, said last week in an interview with CNN.</t>
  </si>
  <si>
    <t>Should You Be Concerned?</t>
  </si>
  <si>
    <t>Marion Nestle, a molecular biologist who has studied and taught food science for decades and was interviewed in the documentary, told HuffPost that the conditions conventionally-raised chickens are kept in can spread disease.</t>
  </si>
  <si>
    <t>What’s new in food tech? A few that caught my fancy</t>
  </si>
  <si>
    <t>A few that caught my fancy appeared first on Food Politics by Marion Nestle.
Read MoreFood Politics by Marion Nestle</t>
  </si>
  <si>
    <t>More beans and less red meat: Nutritionists weigh in on US dietary guidelines</t>
  </si>
  <si>
    <t>WZAN-AM (South Portland, ME)</t>
  </si>
  <si>
    <t>Ozempic podría convertirse en una "amenaza existencial para la industria alimentaria": llegan a los supermercados productos especiales para quienes toman el medicamento adelgazante</t>
  </si>
  <si>
    <t>Nueva Prensa de Oriente</t>
  </si>
  <si>
    <t>Marion Nestlé, profesora emérita de nutrición, estudios alimentarios y salud pública de la Universidad de Nueva York, dijo en una entrevista con Los New York Times enero anterior. Está claro que las grandes empresas de nutrición no tienen intención de esperar de brazos cruzados ese momento.</t>
  </si>
  <si>
    <t>How the food industry exerts influence I: food and nutrition professionals (potato industry)</t>
  </si>
  <si>
    <t>The post How the food industry exerts influence I: food and nutrition professionals (potato industry) appeared first on Food Politics by Marion Nestle.
Read MoreFood Politics by Marion Nestle</t>
  </si>
  <si>
    <t>New York Folk</t>
  </si>
  <si>
    <t>Marion Nestle, a food policy expert, said qualified health claims based on limited evidence are “ridiculous on their face.”
“Translation: If you want to believe this, go ahead, but it’s not on the basis of evidence,” she said.
Source: WFLA</t>
  </si>
  <si>
    <t>Weekend reading: Industrial farm animal production</t>
  </si>
  <si>
    <t>The post Weekend reading: Industrial farm animal production appeared first on Food Politics by Marion Nestle.
Read MoreFood Politics by Marion Nestle</t>
  </si>
  <si>
    <t>How bad are ultra-processed foods? Here are 5 things to know</t>
  </si>
  <si>
    <t>Marion Nestle , food policy expert, to CNN medical correspondent Meg. Tirrell on the Chasing Life podcast recently. Nestlé is the Paulette Goddard Distinguished Professor of Nutrition, Food Studies and Public Health at New York University.</t>
  </si>
  <si>
    <t>WYXL-FM (Ithica, NY)</t>
  </si>
  <si>
    <t>UK House of Lords issues report on how to fix food systems</t>
  </si>
  <si>
    <t>LINKS
Full report
News story
Shorthand version of the report
Video
Audio (Baroness Walmsley)
The post UK House of Lords issues report on how to fix food systems appeared first on Food Politics by Marion Nestle.
Read MoreFood Politics by Marion Nestle</t>
  </si>
  <si>
    <t>Industry-funded study of the week: microalgae of all things</t>
  </si>
  <si>
    <t>The post Industry-funded study of the week: microalgae of all things appeared first on Food Politics by Marion Nestle.
Read MoreFood Politics by Marion Nestle</t>
  </si>
  <si>
    <t>The cucumber outbreak: a CAFO problem?</t>
  </si>
  <si>
    <t>Weekend reading: family monopolies over food</t>
  </si>
  <si>
    <t>The post Weekend reading: family monopolies over food appeared first on Food Politics by Marion Nestle.
Read MoreFood Politics by Marion Nestle</t>
  </si>
  <si>
    <t>Can yogurt reduce the risk of Type 2 diabetes?</t>
  </si>
  <si>
    <t>Marion Nestle, a food policy expert, said qualified health claims based on limited evidence are “ridiculous on their face.”
___
The Associated Press Health and Science Department receives support from the Howard Hughes Medical Institute’s Science and Educational Media Group.</t>
  </si>
  <si>
    <t>Industry funded education of the week: Pork</t>
  </si>
  <si>
    <t>The post Industry funded education of the week: Pork appeared first on Food Politics by Marion Nestle.
Read MoreFood Politics by Marion Nestle</t>
  </si>
  <si>
    <t>Public health advocates push Olympics to drop Coca-Cola sponsorship</t>
  </si>
  <si>
    <t>360aproko</t>
  </si>
  <si>
    <t>The IOC’s response to the editorial came as no surprise to Marion Nestle, a professor emerita of nutrition, food studies and public health at New York University.
“Too much money is at stake for the IOC to refuse it,” she said in an email.
She called the Responsible Marketing Policy “a joke.”</t>
  </si>
  <si>
    <t>Kevin Hall's controlled feeding trials lack funds| STAT</t>
  </si>
  <si>
    <t>African News Herald</t>
  </si>
  <si>
    <t>“The idea that the NIH isn’t sinking a fortune into this is just shocking to me,” said Marion Nestle, an emeritus professor of nutrition and public health at New York University, who called Hall’s first clinical trial on ultra-processed foods “the most important study in nutrition that’s been done since</t>
  </si>
  <si>
    <t>Healthier alternatives to Valentine's Day candy : NPR</t>
  </si>
  <si>
    <t>It's also quite salty and high in fat, so it falls in the category of enjoy in moderation," said Marion Nestle, professor of nutrition, food studies and public health at New York University, in an email to NPR.
Stay away from the overly processed kind, which tends to be higher in sodium.</t>
  </si>
  <si>
    <t>No, you don’t need to be drinking raw milk</t>
  </si>
  <si>
    <t>Food information experts are “absolutely horrified” by nan increasing earthy beverage trend, says Dr Marion Nestle, nan Paulette Goddard professor of nutrition, nutrient studies, and nationalist health, emerita, astatine New York University.</t>
  </si>
  <si>
    <t>Look for these 9 red flags to identify food that is ultra-processed</t>
  </si>
  <si>
    <t>Sunday Tribune</t>
  </si>
  <si>
    <t>Large packages are designed to make you overeat, said Marion Nestle, an emeritus professor of nutrition, food studies, and public health at New York University and the author of "Soda Politics." "If you can't stop eating from big packages, don't buy them," she added.</t>
  </si>
  <si>
    <t>Vitamin supplements do not improve mortality, alas</t>
  </si>
  <si>
    <t>The post Vitamin supplements do not improve mortality, alas appeared first on Food Politics by Marion Nestle.
Read MoreFood Politics by Marion Nestle</t>
  </si>
  <si>
    <t>Industry-funded studies of the week: Walnuts again and again</t>
  </si>
  <si>
    <t>The post Industry-funded studies of the week: Walnuts again and again appeared first on Food Politics by Marion Nestle.
Read MoreFood Politics by Marion Nestle</t>
  </si>
  <si>
    <t>(p 290)
The post Weekend reading: The Good Eater appeared first on Food Politics by Marion Nestle.
Read MoreFood Politics by Marion Nestle</t>
  </si>
  <si>
    <t>Marion Nestle, nan Paulette Goddard professor emerita of nutrition, nutrient studies and nationalist wellness astatine New York University.
    Do we request to get free of each ultraprocessed foods?</t>
  </si>
  <si>
    <t>Weekend reading: Real Food, Real Facts</t>
  </si>
  <si>
    <t>The post Weekend reading: Real Food, Real Facts appeared first on Food Politics by Marion Nestle.
Read MoreFood Politics by Marion Nestle</t>
  </si>
  <si>
    <t>You may be eating predigested foods. here's why</t>
  </si>
  <si>
    <t>But we’re paying the price, said Marion Nestle, the Paulette Goddard Distinguished Professor of Nutrition, Food Studies and Public Health at New York University, who has written books on food industry politics.</t>
  </si>
  <si>
    <t>The biggest wellness trends of 2024 (so far)</t>
  </si>
  <si>
    <t>Richard Hartley</t>
  </si>
  <si>
    <t>But food safety experts are “absolutely horrified” by the trend, Dr Marion Nestle, professor emerita of nutrition, food studies and public health at New York University told the Guardian in January.</t>
  </si>
  <si>
    <t>Industry-funded study of the week: plant-based meat alternatives</t>
  </si>
  <si>
    <t>The post Industry-funded study of the week: plant-based meat alternatives appeared first on Food Politics by Marion Nestle.
Read MoreFood Politics by Marion Nestle</t>
  </si>
  <si>
    <t>Weekend reading: Practicing Food Studies!</t>
  </si>
  <si>
    <t>The Dietary Guidelines saga continues: II. The same old recommendations</t>
  </si>
  <si>
    <t>The same old recommendations appeared first on Food Politics by Marion Nestle.
Read MoreFood Politics by Marion Nestle</t>
  </si>
  <si>
    <t>Seeing viral pork TikToks? It’s a government-backed group pushing meat on Gen Z. – United States KNews.MEDIA</t>
  </si>
  <si>
    <t>But Marion Nestle, a long-time critic of the checkoff programs, argued that scientific research was not enough to back up such claims.</t>
  </si>
  <si>
    <t>Diet rich in fruits and vegetables may reduce risk of heart and kidney disease, study finds</t>
  </si>
  <si>
    <t>Marion Nestle, the Paulette Goddard Distinguished Professor of Nutrition, Food Studies and Public Health at New York University. She was not involved in the research.
 “We’ve known this for a long time, but it’s good to add to the benefits a reduction in kidney disease,” she said.</t>
  </si>
  <si>
    <t>Today: a book a out Taiwan’s TV cooking star, Fu Pei-mei</t>
  </si>
  <si>
    <t>The post Today: a book a out Taiwan’s TV cooking star, Fu Pei-mei appeared first on Food Politics by Marion Nestle.
Read MoreFood Politics by Marion Nestle</t>
  </si>
  <si>
    <t>Report on the Sustainable Development Goals’ progress: Not much, alas.</t>
  </si>
  <si>
    <t>Report resources
Website
Data Visualization
The post Report on the Sustainable Development Goals’ progress: Not much, alas. appeared first on Food Politics by Marion Nestle.
Read MoreFood Politics by Marion Nestle</t>
  </si>
  <si>
    <t>Dietary guidelines become mired in war over alcohol safety</t>
  </si>
  <si>
    <t>Marion Nestle, a former nutrition policy adviser to HHS who worked on the alcohol recommendations when the guidelines were updated in 1995, said the alcohol industry is "frantic" about how the dietary guidelines could be updated.</t>
  </si>
  <si>
    <t>Can yogurt keep type 2 diabetes at bay? Here's what the experts say</t>
  </si>
  <si>
    <t>India Daily Mail</t>
  </si>
  <si>
    <t>Marion Nestle, a meals coverage skilled, mentioned Competent well being claims in line with restricted proof are “ridiculous on their face.”
“Translation: If you wish to consider this, cross forward, however it is not at the foundation of proof,” she mentioned.</t>
  </si>
  <si>
    <t>Bovine colostrum, raw milk and cortisol face: the biggest wellness trends of 2024</t>
  </si>
  <si>
    <t>FDA grants limited approval for yogurt's diabetes risk reduction claim</t>
  </si>
  <si>
    <t>News7F</t>
  </si>
  <si>
    <t>Marion Nestle, a food policy expert, said qualified health claims based on limited evidence are “ridiculous on their face.”
“Translation: If you want to believe this, go ahead, but it’s not based on evidence,” she said.</t>
  </si>
  <si>
    <t>Pretoria News</t>
  </si>
  <si>
    <t>RFK Jr’s No. 1 hurdle to take on unhealthy food: money</t>
  </si>
  <si>
    <t>Today Headline</t>
  </si>
  <si>
    <t>Difficult but not impossible
Marion Nestle, professor emerita of nutrition, food studies and public health at New York University, said that even with limited funds, it’s not impossible to take on the food industry, noting Kennedy isn’t the only public figure who’s tackled unhealthy foods.</t>
  </si>
  <si>
    <t>Popular new documentary shows rapid health gains from a vegan diet</t>
  </si>
  <si>
    <t>Delecious Food</t>
  </si>
  <si>
    <t>Nutrition professor and writer Marion Nestle explains how the livestock lobby has worked tirelessly to ensure that national nutritional guidelines contain vague, hard-to-follow statements about reducing saturated fat rather than simply saying that Americans need to eat less meat.</t>
  </si>
  <si>
    <t>Breakfast is the most important meal of the day – or is it? - deleciousfood</t>
  </si>
  <si>
    <t>Marion Nestlé, an expert in nutrition and public health, guess again. Nestlé doesn’t do breakfast either. “I prefer to eat when I’m hungry, and I’m rarely hungry before 10:30 p.m. or later,” she said.</t>
  </si>
  <si>
    <t>Let’s not kid ourselves about yogurt</t>
  </si>
  <si>
    <t>As New York University nutrition professor Marion Nestle has written, “Yogurt seems to have performed a marketing miracle: It’s a fast-selling dessert with the aura of a health food.”</t>
  </si>
  <si>
    <t>FDA Allows Yogurt Labels to Claim the Snacks May Reduce Diabetes Risk — Even Though Many of Them Are Loaded with Sugar (Which CAUSES Disease) - deleciousfood</t>
  </si>
  <si>
    <t>Regardless, food policy expert Marion Nestlé said qualified health claims based on limited evidence are “ridiculous on their face.”
“Translation: If you want to believe that, go ahead, but it’s not based on evidence,” she said.</t>
  </si>
  <si>
    <t>¿Qué alimentos ultraprocesados ​​están relacionados con una vida más corta? - Noticias Deseret</t>
  </si>
  <si>
    <t>ForoSocuellamos</t>
  </si>
  <si>
    <t>«Literalmente, cientos de estudios vinculan los alimentos ultraprocesados ​​con la obesidad, el cáncer, las enfermedades cardiovasculares y la mortalidad general», dice Marion Nestle, autora de libros sobre política y marketing alimentario y profesora emérita de nutrición y estudios alimentarios en la</t>
  </si>
  <si>
    <t>Cortisol face, raw milk and skincare for kids: the biggest wellness trends of 2024</t>
  </si>
  <si>
    <t>Junk Food Diet in Teens Can Lead to Poor Memory</t>
  </si>
  <si>
    <t>TOP News Media</t>
  </si>
  <si>
    <t>‘It is too easy for food manufacturers to reformulate sugar, salt and fat to meet standards for those nutrients and still produce a junk food,’ said Marion Nestle, a retired professor of nutrition, food studies and public health at New York University.”</t>
  </si>
  <si>
    <t>In the Ozempic Age, Has ‘Craveable’ Lost Its Selling Power?</t>
  </si>
  <si>
    <t>Finno Expert</t>
  </si>
  <si>
    <t>“It’s an existential threat to the food industry and certainly an existential threat to the processed food industry,” said Marion Nestle, an emeritus professor of nutrition, food studies and public health at New York University who has written extensively on food policy and science.</t>
  </si>
  <si>
    <t>En la era Ozempic, ¿ha perdido 'Craveable' su poder de venta?</t>
  </si>
  <si>
    <t>ButterWord</t>
  </si>
  <si>
    <t>"Es una amenaza existencial para la industria alimentaria y ciertamente una amenaza existencial para la industria de alimentos procesados", dijo Marion Nestlé, profesor emérito de nutrición, estudios alimentarios y salud pública en la Universidad de Nueva York que ha escrito extensamente sobre política</t>
  </si>
  <si>
    <t>Project 2025 dietary rollbacks would limit fight against ultra-processed foods | US elections 2024</t>
  </si>
  <si>
    <t>Health Reporter</t>
  </si>
  <si>
    <t>“This is a deregulatory agenda,” said Marion Nestle, a professor of nutrition and food policy at New York University. “And what we know historically from deregulation is that it’s really bad for consumers, it’s bad for workers, it’s bad for the environment.”</t>
  </si>
  <si>
    <t>Congress Demands Greater Transparency For Dietary Guidelines Review</t>
  </si>
  <si>
    <t>Marion Nestle — the Paulette Goddard Professor Emerita of Nutrition, Food Studies, and Public Health at New York University — covers the controversial origins of the DGA in her book Food Politics.</t>
  </si>
  <si>
    <t>Who can say it's healthy? The FDA has a new definition for food labels</t>
  </si>
  <si>
    <t>KTTZ-FM (Lubbock, TX)</t>
  </si>
  <si>
    <t>Nutrition expert Marion Nestle of New York University says the new rule may encourage food manufacturers to reformulate their foods to reduce sodium, sugars and saturated fats.</t>
  </si>
  <si>
    <t>FDA Grants Yogurts Limited Claim of Reducing Type 2 Diabetes Risk</t>
  </si>
  <si>
    <t>Hartsville News Journal</t>
  </si>
  <si>
    <t>Marion Nestle, a nutritionist and molecular biologist, agreed with Passerrello, stating that “qualified health claims are absurd.”</t>
  </si>
  <si>
    <t>POTVRĐENO JE: JOGURT MOŽE SMANJITI RIZIK OD DIJABETESA TIPA 2</t>
  </si>
  <si>
    <t>znamo.ba</t>
  </si>
  <si>
    <t>Marion Nestle, profesorica nutricionizma, zdrave hrane i javnog zdravstva na Sveučilištu New York, kritizirala je odluku upitavši: “Zašto bi bilo koja razumna osoba mislila da je sve što trebate učiniti kako biste spriječili dijabetes tipa 2 konzumirati dvije šalice jogurta tjedno?”</t>
  </si>
  <si>
    <t>Can yogurt keep type 2 diabetes at bay? Here's what the experts say-Business Journal</t>
  </si>
  <si>
    <t>Business-Journal</t>
  </si>
  <si>
    <t>Marion Nestle, a meals coverage professional, stated certified well being claims primarily based on restricted proof are “ridiculous on their face.”
“Translation: If you want to believe this, go ahead, but it’s not on the basis of evidence,” she stated. 
(*2*)</t>
  </si>
  <si>
    <t>Pure Oldies 107.5 FM</t>
  </si>
  <si>
    <t>¿Estás viendo TikToks virales de cerdo? Es un grupo respaldado por el gobierno que promociona la carne entre la Generación Z.</t>
  </si>
  <si>
    <t>24Noticias.org</t>
  </si>
  <si>
    <t>Pero Marion Nestlé, crítica desde hace mucho tiempo de los programas de compensación, argumentó que la investigación científica no era suficiente para respaldar tales afirmaciones.</t>
  </si>
  <si>
    <t>Nein, Sie müssen keine Rohmilch trinken | Naja eigentlich</t>
  </si>
  <si>
    <t>Germanic</t>
  </si>
  <si>
    <t>Marion Nestle, emeritierte Paulette-Goddard-Professorin für Ernährung, Lebensmittelstudien und öffentliche Gesundheit an der New York University.
„Das Pasteurisieren von Milch ist eine der großen Errungenschaften des 20. Jahrhunderts im Bereich der öffentlichen Gesundheit“, sagt Nestle.</t>
  </si>
  <si>
    <t>Die größten Wellness-Trends 2024 (bisher) | Naja, eigentlich</t>
  </si>
  <si>
    <t>Marion Nestle, emeritierte Professorin für Ernährung, Lebensmittelwissenschaften und öffentliche Gesundheit an der New York University, im Januar dem Guardian.</t>
  </si>
  <si>
    <t>Verzichten Sie an diesem Valentinstag auf Süßigkeiten. Hier sind einige gesündere Optionen | LAist – -Nachrichten für Südkalifornien - Germanic Nachrichten</t>
  </si>
  <si>
    <t>Außerdem ist er recht salzig und hat einen hohen Fettgehalt, sodass er in die Kategorie „in Maßen genießen“ fällt“, sagte Marion Nestle, Professorin für Ernährung, Lebensmittelstudien und öffentliche Gesundheit an der Universität New York University, in einer E-Mail an -.</t>
  </si>
  <si>
    <t>Joghurt kann jetzt behaupten, dass er das Diabetesrisiko senken kann</t>
  </si>
  <si>
    <t>Marion Nestle, eine Expertin für Lebensmittelpolitik, sagte, qualifizierte gesundheitsbezogene Angaben, die auf begrenzten Beweisen basieren, seien „auf den ersten Blick lächerlich“.
„Übersetzung: Wenn Sie das glauben wollen, machen Sie weiter, aber es basiert nicht auf Beweisen“, sagte sie.</t>
  </si>
  <si>
    <t>Lebensmittelmarketing im ozempischen Zeitalter</t>
  </si>
  <si>
    <t>„Es ist eine existenzielle Bedrohung für die Lebensmittelindustrie und sicherlich eine existenzielle Bedrohung für die verarbeitete Lebensmittelindustrie“, sagte Marion Nestle, emeritierte Professorin für Ernährung, Lebensmittelstudien und öffentliche Gesundheit an der New York University, die ausführlich</t>
  </si>
  <si>
    <t>Was „kein Cholesterin“ und „glutenfrei“ auf Lebensmitteletiketten bedeuten</t>
  </si>
  <si>
    <t>„Wenn das Marketing gut gemacht ist, entgeht es dem Radar des kritischen Denkens“, sagt Marion Nestle, Professorin für Ernährung und Lebensmittelstudien an der New York University.</t>
  </si>
  <si>
    <t>Hast du Schokoladenmilch? Während US-Schulen über ein Verbot nachdenken, ist eine alte, lückenhafte Studie maßgeblich | Schulmahlzeiten</t>
  </si>
  <si>
    <t>Marion Nestle, eine Befürworterin des öffentlichen Gesundheitswesens und Ernährungsprofessorin, die ausführlich über Interessenkonflikte in der Ernährungsforschung geschrieben hat, sagte: „Die Milchindustrie hat wirklich großartige Arbeit geleistet, um die Menschen davon zu überzeugen, dass Milch ein</t>
  </si>
  <si>
    <t>Sugar substitute xylitol linked to increased risk of heart attack, stroke</t>
  </si>
  <si>
    <t>California Dolphin</t>
  </si>
  <si>
    <t>What the experts say
“This study adds to a growing body of literature on the potential physiological problems caused by artificial sweeteners,” Marion Nestle, emeritus professor of nutrition at New York University, wrote in an email.</t>
  </si>
  <si>
    <t>Sữa chua hiện có thể tuyên bố có thể làm giảm nguy cơ mắc bệnh tiểu đường</t>
  </si>
  <si>
    <t>Press Vietnam</t>
  </si>
  <si>
    <t>Marion Nestle, một chuyên gia chính sách thực phẩm, cho rằng các tuyên bố về sức khỏe được chứng minh một phần dựa trên bằng chứng hạn chế là “không thể chấp nhận được trên mặt”.
“Dịch nghĩa: Nếu bạn muốn tin điều này, hãy tự do, nhưng nó không dựa trên bằng chứng,” bà nói.</t>
  </si>
  <si>
    <t>Yogurt Boleh Mendakwa Ia Mungkin Mengurangkan Risiko Diabetes</t>
  </si>
  <si>
    <t>Linking Malaysia</t>
  </si>
  <si>
    <t>Marion Nestle, seorang pakar kebijakan pangan, mengatakan klaim kesehatan yang memenuhi syarat berdasarkan bukti yang terbatas adalah “konyol di permukaannya”.
“Terjemahannya: Jika Anda ingin percaya ini, silakan, tapi ini tidak berdasarkan bukti,” katanya.</t>
  </si>
  <si>
    <t>Yogurt Bisa Mengklaim Dapat Mengurangi Risiko Diabetes</t>
  </si>
  <si>
    <t>Indo Newswire</t>
  </si>
  <si>
    <t>Marion Nestle, seorang pakar kebijakan pangan, mengatakan klaim kesehatan yang memenuhi syarat berdasarkan bukti terbatas adalah “konyol di permukaannya”.
“Terjemahan: Jika Anda ingin percaya ini, silakan, tetapi itu tidak berdasarkan bukti,” katanya.</t>
  </si>
  <si>
    <t>South East Asia Tribune</t>
  </si>
  <si>
    <t>10 Nutrition Myths Experts Wish Would Die - The New York Times</t>
  </si>
  <si>
    <t>Armwood Editorial And Opinion Blog</t>
  </si>
  <si>
    <t>Marion Nestle, a professor emerita of nutrition, food studies and public health at New York University.</t>
  </si>
  <si>
    <t>Our “Eat More” Culture Discussed With Dr. Marion Nestle</t>
  </si>
  <si>
    <t>USA Daily Times</t>
  </si>
  <si>
    <t>Marion Nestle, a Professor Emerita of Nutrition, Food Studies, and Public Health, at the New York University. She has a Ph.D. in molecular biology and an M.P.H. from the University of California, Berkeley.</t>
  </si>
  <si>
    <t>NewsDeal</t>
  </si>
  <si>
    <t>Food Marketing in the Ozempic Age</t>
  </si>
  <si>
    <t>Entertainment Mag</t>
  </si>
  <si>
    <t>Estos son los alimentos ultraprocesados que más debes evitar, según un estudio de 30 años</t>
  </si>
  <si>
    <t>N24</t>
  </si>
  <si>
    <t>Marion Nestle, profesora emérita de nutrición, estudios alimentarios y ciencias alimentarias de Paulette Goddard. salud pública en la Universidad de Nueva York.
¿Necesitamos deshacernos de todos los alimentos ultraprocesados?</t>
  </si>
  <si>
    <t>Is Skipping Breakfast Really That Bad For Your Health?</t>
  </si>
  <si>
    <t>Swift Telecast</t>
  </si>
  <si>
    <t>Marion Nestle, guess again. Nestle doesn’t do breakfast, either. “I prefer eating when I’m hungry, and I rarely get hungry before 10:30 or later,” she said.
As for all those studies talking about breakfast being the most important meal of the day, Nestle advises reading the fine print.</t>
  </si>
  <si>
    <t>Ultra-processed food is tasty and easy. Is it bad for you? – The Mercury News - SwiftTelecast</t>
  </si>
  <si>
    <t>Ultra-processed foods, said nutritionist Marion Nestle, are “industrially produced foods formulated to be irresistibly delicious that can’t be made in home kitchens.”
This category can include many breakfast cereals, yogurts, chicken nuggets and plant-based meat alternatives.</t>
  </si>
  <si>
    <t>RocketNews</t>
  </si>
  <si>
    <t>“What he’s suggesting is taking on the food industry,” said former New York University nutrition professor Marion Nestle. “Will Trump back him up on that?</t>
  </si>
  <si>
    <t>Ultraprocessed foods: What are they and why are they bad?</t>
  </si>
  <si>
    <t>Marion Nestle told CNN Medical Correspondent Meg Tirrell on the Chasing Life podcast recently. Nestle is the Paulette Goddard Professor of nutrition, food studies and public health, emerita, at New York University.</t>
  </si>
  <si>
    <t>Marion Nestle, a food policy expert, said qualified health claims based on limited evidence are “ridiculous on their face.”
___
The Associated Press Health and Science Department receives support from the Howard Hughes Medical Institute’s Science and Educational Media Group.</t>
  </si>
  <si>
    <t>More beans and less red meat: Nutrition experts weigh in on US dietary guidelines</t>
  </si>
  <si>
    <t>Semanario Accion</t>
  </si>
  <si>
    <t>Why Are People So Freaked Out About Seed Oils?</t>
  </si>
  <si>
    <t>Kayrage</t>
  </si>
  <si>
    <t>Just not much,” says Marion Nestle, the Paulette Goddard professor emerita of diet, meals research, and public well being at New York University.</t>
  </si>
  <si>
    <t>A Healthy Diet for People and the Planet</t>
  </si>
  <si>
    <t>Healthcare 360 Magazine</t>
  </si>
  <si>
    <t>Experts like Marion Nestle, an emeritus professor at NYU, advocate for governmental policies that support sustainable and nutritious diets.</t>
  </si>
  <si>
    <t>Peut-on manger des œufs ou des produits laitiers en toute sécurité ?</t>
  </si>
  <si>
    <t>Cocottes Magazine</t>
  </si>
  <si>
    <t>Des recherches supplémentaires sont nécessaires, mais pour l’instant, vous pouvez rester calme. « Nous devons en savoir beaucoup plus sur la manière dont la grippe aviaire se transmet à l’homme – jusqu’à présent, ce n’est pas facile », explique Marion Nestle, biologiste moléculaire et défenseur de la</t>
  </si>
  <si>
    <t>Est-il prudent de manger des œufs, du poulet ou des produits laitiers pendant l'épidémie de grippe aviaire ?</t>
  </si>
  <si>
    <t>According to 30 years of research, ultraprocessed foods are associated with early death</t>
  </si>
  <si>
    <t>The Hants Journal</t>
  </si>
  <si>
    <t>Marion Nestle, Goddard Professor of Nutrition, Food Studies and Politics. in Public Health from New York University.
 Song doesn’t necessarily mean completely rejecting all ultraprocessed foods because it’s a different category, he said.</t>
  </si>
  <si>
    <t>Tech and Science Post</t>
  </si>
  <si>
    <t>Ist Rohmilch sicher? Hier erfahren Sie, was Sie wissen sollten</t>
  </si>
  <si>
    <t>„Durch Rohmilch verursachte Infektionen sind selten“, sagt Marion Nestle, emeritierte Professorin für Ernährung, Lebensmittelstudien und öffentliche Gesundheit an der New York University, „aber wenn sie auftreten, können sie tödlich sein, insbesondere für Kinder.“ Das ist ein Risiko, das ich lieber nicht</t>
  </si>
  <si>
    <t>Die FDA hat neu definiert, was auf Lebensmitteletiketten als „gesund“ gilt: Shots</t>
  </si>
  <si>
    <t>Die Ernährungsexpertin Marion Nestle von der New York University sagt, die neue Regelung könnte Lebensmittelhersteller dazu ermutigen, ihre Lebensmittel neu zu formulieren, um Natrium, Zucker und gesättigte Fette zu reduzieren.</t>
  </si>
  <si>
    <t>Por qué es tan difícil resistirse a los alimentos ultraprocesados</t>
  </si>
  <si>
    <t>FM Alpina 103.3</t>
  </si>
  <si>
    <t>Marion Nestle, catedrática emérita de Nutrición, Alimentación y Salud Pública de la Universidad de Nueva York, dijo que se trataba del “estudio más importante sobre nutrición en años”.</t>
  </si>
  <si>
    <t>Qué es el “halo de salud” y por qué te puede cegar al hacer las compras</t>
  </si>
  <si>
    <t>“Si el marketing está bien hecho, pasa por debajo del radar del pensamiento crítico”, dijo Marion Nestle, profesora emérita de nutrición y estudios alimentarios de la Universidad de Nueva York.</t>
  </si>
  <si>
    <t>Nashoba Valley Voice</t>
  </si>
  <si>
    <t>In the Ozempic Age, Has 'Craveable' Lost Its Selling Power?</t>
  </si>
  <si>
    <t>Pop Culturely</t>
  </si>
  <si>
    <t>"It's an existential threat to the food industry and certainly an existential threat to the processed food industry," said Marion Nestle, an emeritus professor of nutrition, food studies and public health at New York University who has written extensively on food policy and science.</t>
  </si>
  <si>
    <t>The Big Buzz at Davos: A.I., Ukraine, China, and the Middle East</t>
  </si>
  <si>
    <t>- Marion Nestle, an emeritus professor of nutrition, food studies and public health at New York University, on how popular weight loss drugs like Ozempic could upend the marketing of snack foods in America.</t>
  </si>
  <si>
    <t>Un estudio identifica los alimentos ultraprocesados que se deben evitar</t>
  </si>
  <si>
    <t>Ecuapaginas S.A.</t>
  </si>
  <si>
    <t>Marion Nestle, profesora emérita de nutrición en la Universidad de Nueva York.
El Dr. Song no aboga necesariamente por eliminar por completo todos los alimentos ultraprocesados, ya que esta categoría es diversa.</t>
  </si>
  <si>
    <t>Nutrition experts weigh in on US dietary guidelines</t>
  </si>
  <si>
    <t>BNS Global News</t>
  </si>
  <si>
    <t>Overall, the recommendations for the 2025-30 Dietary Guidelines for Americans sound familiar, said Marion Nestle, a food policy expert.</t>
  </si>
  <si>
    <t>5 questions about the next U.S. dietary guidelines, and the ‘impossible restriction’ on them</t>
  </si>
  <si>
    <t>News Source One</t>
  </si>
  <si>
    <t>Marion Nestle, emeritus professor of nutrition and public health at New York University: Nobody pays much attention to them in practice. Also, they never change, really. In 1980 they said eat more vegetables, eat fewer foods high in fat, sugar, and salt. They still do.</t>
  </si>
  <si>
    <t>Étude : Une alimentation riche en fruits et légumes peut réduire le risque de maladies cardiaques et rénales</t>
  </si>
  <si>
    <t>Algerie Monde Infos</t>
  </si>
  <si>
    <t>L’étude est la dernière d’une série croissante d’études sur les bienfaits pour la santé d’une alimentation riche en plantes, a déclaré le Dr Marion Nestle, professeur de nutrition, d’études alimentaires et de santé publique à l’Université de New York. Nestlé n’a pas été impliqué dans la recherche.</t>
  </si>
  <si>
    <t>Monday, November 25, 2024</t>
  </si>
  <si>
    <t>TFI Daily News</t>
  </si>
  <si>
    <t>“What he’s suggesting is taking on the food industry,” said former New York University nutrition professor Marion Nestle. “Will Trump back him up on that? I’ll believe it when I see it.”</t>
  </si>
  <si>
    <t>Kuala Lampur Week</t>
  </si>
  <si>
    <t>Despite Ozempic and RFK Jr., Uncrustables and Twinkies believe ‘very strongly that snacking continues’</t>
  </si>
  <si>
    <t>USTimes Mirror</t>
  </si>
  <si>
    <t>“The food industry ought to be quaking in its boots, but they don’t think it’s going to happen,” Marion Nestle, a leading authority on nutrition and food policy at New York University, said in an interview last week with .</t>
  </si>
  <si>
    <t>Der Balanceakt der modernen Ernährung: Wie Diäten und Gesundheitstrends wirklich auf unseren Körper wirken</t>
  </si>
  <si>
    <t>Technologiebox.de</t>
  </si>
  <si>
    <t>Marion Nestle, eine renommierte Ernährungswissenschaftlerin, betont die Bedeutung einer vielfältigen und ausgewogenen Ernährung. Sie empfiehlt, den Fokus auf natürliche, unverarbeitete Lebensmittel zu legen und den Konsum von Zucker und gesättigten Fetten zu reduzieren.</t>
  </si>
  <si>
    <t>More Listeria recalls - what’s happening?</t>
  </si>
  <si>
    <t>WDC TV News</t>
  </si>
  <si>
    <t>Marion Nestle, Professor of Nutrition, Food Studies, and Public Health, at New York University, pointed out the inherent problems of containing Listeria saying “The bacteria are nasty to control because they proliferate at refrigerator temperatures that would discourage other pathogens.</t>
  </si>
  <si>
    <t>The FDA has redefined what counts as 'healthy' on food labels : Shots</t>
  </si>
  <si>
    <t>Kombucha and nootropics are all the rage. Do these drinks really work?</t>
  </si>
  <si>
    <t>Networthy News</t>
  </si>
  <si>
    <t>Nutritional Expert Marion Nestle, emerita teacher of nutrition, food research studies, and public health at New York University, states proof on probiotics is still”rather combined” Nestle does not motivate looking for probiotics other than for individuals taking prescription antibiotics or experiencing</t>
  </si>
  <si>
    <t>From added sugar to sodium, here's how US dietary recommendations have changed over the last 50 years - Randolph-Hampton-Castle Rock Messenger</t>
  </si>
  <si>
    <t>Randolph Hampton Castle Rock Messenger</t>
  </si>
  <si>
    <t>New York University nutrition expert Marion Nestle, who served on the 1995 advisory panel, told The New York Times, "In my view, the advice is the same: Eat your vegetables, don't gain too much weight, and avoid junk foods with a lot of salt, sugar, and saturated fat."
Story editing by Carren Jao.</t>
  </si>
  <si>
    <t>More beans and less red meat: Nutritionists weigh in on US dietary guidelines | EZ 99.7</t>
  </si>
  <si>
    <t>WIXY-HD3 (Champaign, IL)</t>
  </si>
  <si>
    <t>Is Raw Milk Safe? Here's What to Know</t>
  </si>
  <si>
    <t>Exclusive Global News</t>
  </si>
  <si>
    <t>"Infections brought on by uncooked milk are uncommon," says Marion Nestle, professor emerita of vitamin, meals research, and public well being at New York University, "however once they happen they are often lethal, particularly to kids. This is a threat I'd somewhat not take."</t>
  </si>
  <si>
    <t>New Vermont Vegan Food Producers Aim to Enhance Wellness of People and the Planet</t>
  </si>
  <si>
    <t>NewsPub</t>
  </si>
  <si>
    <t>The study had its detractors, as nutritionist, author and public health advocate Marion Nestle pointed out recently on her Food Politics blog. But besides being “clever and adorable,” Nestle wrote, the twin approach “is further evidence for the benefits of largely plant-based diets.”</t>
  </si>
  <si>
    <t>Binghamton Bearcats vs. Vermont Catamounts: How to watch, schedule, live stream info, start time, TV channel</t>
  </si>
  <si>
    <t>Yogurt Can Now Declare It Would possibly Shed the Chance of Diabetes</t>
  </si>
  <si>
    <t>News Block</t>
  </si>
  <si>
    <t>Marion Nestle, a meals coverage skilled, stated certified fitness claims in accordance with restricted proof are “ridiculous on their face.”</t>
  </si>
  <si>
    <t>Hanoipr.com</t>
  </si>
  <si>
    <t>Malaysian Buzz</t>
  </si>
  <si>
    <t>Presse-Blog</t>
  </si>
  <si>
    <t>¿Es saludable la kombucha? Expertos analizan beneficios de la bebida de moda</t>
  </si>
  <si>
    <t>ENFOQUE Now</t>
  </si>
  <si>
    <t>En cuanto a la bebidas prebióticas y probióticas como el vinagre de sidra de manzana y la kombucha, algunos especialistas prefieren mantener en duda los supuestos beneficios que contienen, como es el caso de la nutricionista Marion Nestle, quien no recomienda recurrir a los probióticos, salvo por aquellos</t>
  </si>
  <si>
    <t>Newszetu</t>
  </si>
  <si>
    <t>Marion Nestle told CNN Medical Correspondent Meg Tirrell on the Chasing Life podcast recently. Nestle is the Paulette Goddard Professor of nutrition, food studies and public health, emerita, at New York University.
Listen to more of the conversation between Nestle and Tirrell here.</t>
  </si>
  <si>
    <t>A lowly vegetable rises to stardom in newly released dietary advisory report</t>
  </si>
  <si>
    <t>Marion Nestle, the Paulette Goddard Professor of Nutrition, Food Studies and Public Health, Emerita, at New York University, in an email.</t>
  </si>
  <si>
    <t>Yogurts Can Now Make Limited Claim That They Lower Type 2 Diabetes Risk, FDA Says</t>
  </si>
  <si>
    <t>Marion Nestle, a nutritionist and molecular biologist, echoed Passerrello’s sentiments, adding that “qualified health claims are ridiculous on their face.”
“Why would any sensible person think that all you have to do to prevent type 2 diabetes is eat 2 cups of yogurt a week?”</t>
  </si>
  <si>
    <t>Tittle Press</t>
  </si>
  <si>
    <t>“This study adds to a growing body of literature on the potential physiological problems caused by artificial sweeteners,” Marion Nestle, emeritus professor of nutrition at New York University, wrote in an email. “Researchers are finding problems with one after another, now xylitol.”</t>
  </si>
  <si>
    <t>Ultra-processed food faces regulatory scrutiny over health concerns</t>
  </si>
  <si>
    <t>Ultra-processed foods, said nutritionist Marion Nestle, are “industrially produced foods formulated to be irresistibly delicious that can’t be made in home kitchens.”
This category can include many breakfast cereals, yogurts, chicken nuggets and plant-based meat alternatives.</t>
  </si>
  <si>
    <t>Terra Madre Salone del Gusto 2024: We Are Nature</t>
  </si>
  <si>
    <t>timenews24.it</t>
  </si>
  <si>
    <t>In
collegamento dagli Usa, la biologa ed esperta di politiche alimentari Marion Nestle, autrice di best
seller come Food Politics: How the Food Industry Influences Nutrition and Health e Unsavory Truth: How
Food Companies Skew the Science of What We Eat.</t>
  </si>
  <si>
    <t>Planetary health diet cuts early death risk, new study shows</t>
  </si>
  <si>
    <t>Marion Nestle, an emeritus professor of nutrition, food studies and public health at NYU, said the federal government should adopt food policies to promote diets that are not only nutritious but sustainable.</t>
  </si>
  <si>
    <t>Yogurt can now claim that it can reduce the risk of diabetes</t>
  </si>
  <si>
    <t>US Today News</t>
  </si>
  <si>
    <t>Marion Nestle, a food policy expert, said qualified health claims based on limited evidence were “on the face of it ridiculous.”
“Translation: If you want to believe that, go ahead, but it’s not based on evidence,” she said.
Source : time.com</t>
  </si>
  <si>
    <t>Lovable Vibes</t>
  </si>
  <si>
    <t>Large packages are designed to make you overeat, said Marion Nestle, an emeritus professor of nutrition, food studies, and public health at New York University and the author of “Soda Politics.” “If you can’t stop eating from big packages, don’t buy them,” she added.
[source]</t>
  </si>
  <si>
    <t>Ultraprocessed foods linked with early death, according to 30 years of research | CNN</t>
  </si>
  <si>
    <t>PressNewsAgency</t>
  </si>
  <si>
    <t>Marion Nestle, the Paulette Goddard professor emerita of nutrition, food studies and public health at New York University.
 Song wouldn’t necessarily advise a complete rejection of all ultraprocessed foods because it is a diverse category, he said.</t>
  </si>
  <si>
    <t>Why specialists say there’s ‘no such factor’ as wholesome chocolate - and $20 ‘uncooked’ and further darkish varieties are simply as dangerous as Hershey’s | PressNewsAgency</t>
  </si>
  <si>
    <t>However Dr Marion Nestle, a professor emeritus at New York College and nutritionist, has instructed DailyMail.com there’s so little of this nutrient within the bars that somebody must eat ‘excessive’ quantities with the intention to get sufficient.</t>
  </si>
  <si>
    <t>Back make in India with testing in India</t>
  </si>
  <si>
    <t>While commenting on Food Politics, a book by food industry critic Marion Nestle (unconnected to the food giant), celebrity chef and author Julia Child cautions us: “We learn how powerful, intrusive, influential and invasive big industry is and how alert we must constantly be to prevent it from influencing</t>
  </si>
  <si>
    <t>You could be consuming ‘predigested’ meals. Here is what which means</t>
  </si>
  <si>
    <t>– Marion Nestle, professor of vitamin, meals research and public well being
Estimates say 73% of the meals provide in america is made up of ultraprocessed meals.</t>
  </si>
  <si>
    <t>Lunchables under fire after reports of concerning lead, sodium levels</t>
  </si>
  <si>
    <t>“Lunchables are ultra-processed junk foods for kids,” said Marion Nestle, a retired professor of nutrition, food studies and public health at New York University. “Why anyone would think these are appropriate for school lunches is beyond me. Yes, they are cheap, and yes, kids like them.</t>
  </si>
  <si>
    <t>Dietitians reveal the 100 unhealthiest foods in your supermarket - including margarine, pickles and STOCK CUBES</t>
  </si>
  <si>
    <t>Marion Nestle, a food policy expert, previously told the Daily Mail, that the idea that high sugar yogurt brands are healthy is ‘ridiculous’ and not evidence based. 
If you still want to enjoy a dairy treat, Manaker recommended picking a high-protein yogurt without fruit added.</t>
  </si>
  <si>
    <t>Diet high in fruits, vegetables may reduce heart, kidney disease risk, study finds</t>
  </si>
  <si>
    <t>Marion Nestle, the Paulette Goddard Professor Emerita of Nutrition, Food Studies and Public Health at New York University. She was not involved in the research.
“We’ve known this for a long time but it’s good to have less kidney disease added to the benefits,” she said.</t>
  </si>
  <si>
    <t>Yogurts can now make restricted declare that the meals lowers diabetes danger, FDA says | CNN</t>
  </si>
  <si>
    <t>Marion Nestle, a nutritionist and molecular biologist, echoed Passerrello’s sentiments, including that “certified well being claims are ridiculous on their face.”</t>
  </si>
  <si>
    <t>A diet high in fruits and vegetables may reduce your heart and kidney disease risk, study | CNN</t>
  </si>
  <si>
    <t>Marion Nestle, the Paulette Goddard Professor Emerita of Nutrition, Food Studies and Public Health at New York University. She was not involved in the research.
 “We’ve known this for a long time but it’s good to have less kidney disease added to the benefits,” she said.</t>
  </si>
  <si>
    <t>Search for these 9 pink flags to establish meals that’s ultra-processed</t>
  </si>
  <si>
    <t>Massive packages are designed to make you overeat, mentioned Marion Nestle, an emeritus professor of diet, meals research and public well being at New York College and the creator of “Soda Politics.” “If you cannot cease consuming from huge packages, do not buy them,” she added.</t>
  </si>
  <si>
    <t>Processed foods are hiding in plain sight - and that could be a big public health problem</t>
  </si>
  <si>
    <t>“I think there’s sufficient evidence to recommend a reduction in calories from ultra-processed foods,” Marion Nestle, an emeritus professor of nutrition, food studies and public health at NYU, told the Washington Post. “I wouldn’t say don’t eat them at all — that makes no sense.</t>
  </si>
  <si>
    <t>Just how bad are ultraprocessed foods? Here are 5 things to know | CNN</t>
  </si>
  <si>
    <t>Marion Nestle told CNN Medical Correspondent Meg Tirrell on the Chasing Life podcast recently. Nestle is the Paulette Goddard Professor of nutrition, food studies and public health, emerita, at New York University.
 Listen to more of the conversation between Nestle and Tirrell here.</t>
  </si>
  <si>
    <t>Here are the ultraprocessed foods you most need to avoid, according to a 30-year study | CNN</t>
  </si>
  <si>
    <t>Secular Times</t>
  </si>
  <si>
    <t>Which processed foods are worse for you?</t>
  </si>
  <si>
    <t>Marion Nestle, the Paulette Goddard professor emerita of nutrition, food studies and public health at New York University.
Do we need to get rid of all ultraprocessed foods?</t>
  </si>
  <si>
    <t>From added sugar to sodium, here's how US dietary recommendations have changed over the last 50 years - The Jersey Tomato Press</t>
  </si>
  <si>
    <t>The Jersey Tomato Press</t>
  </si>
  <si>
    <t>WLHH-FM (Bluffton, SC)</t>
  </si>
  <si>
    <t>tios.co.za</t>
  </si>
  <si>
    <t>From added sugar to sodium, here's how US dietary recommendations have changed over the last 50 years - Dundas Messenger</t>
  </si>
  <si>
    <t>Dundas Messenger</t>
  </si>
  <si>
    <t>Here are the Ultraprocessed Foods you Most Need to Avoid, According to a 30-year Study</t>
  </si>
  <si>
    <t>Armada News</t>
  </si>
  <si>
    <t>Laut FDA kann Joghurt nur begrenzt den Anspruch erheben, das Risiko für Typ-2-Diabetes zu senken</t>
  </si>
  <si>
    <t>Nach Welt</t>
  </si>
  <si>
    <t>Marion Nestle, eine Ernährungswissenschaftlerin und Molekularbiologin, schloss sich Passerrellos Ansichten an und fügte hinzu, dass „qualifizierte gesundheitsbezogene Angaben auf den ersten Blick lächerlich sind“.</t>
  </si>
  <si>
    <t>Hier sind die hochverarbeiteten Lebensmittel, die Sie laut einer 30-jährigen Studie am meisten meiden sollten</t>
  </si>
  <si>
    <t>Marion Nestle, emeritierte Paulette-Goddard-Professorin für Ernährung, Lebensmittelstudien und öffentliche Gesundheit an der New York University.</t>
  </si>
  <si>
    <t>Möglicherweise nehmen Sie vorverdaute Nahrung zu sich. Hier ist der Grund</t>
  </si>
  <si>
    <t>Aber wir zahlen einen Preis, sagte Marion Nestle, emeritierte Paulette-Goddard-Professorin für Ernährung, Lebensmittelstudien und öffentliche Gesundheit an der New York University, die Bücher über die Politik der Lebensmittelindustrie geschrieben hat.</t>
  </si>
  <si>
    <t>Austin Frerick auf LinkedIn: Neue Rezension „Frerick’s…“</t>
  </si>
  <si>
    <t>Das ist ein wichtiges Buch … Wenn Sie wissen möchten, wie Unternehmen die Lebensmittelversorgung kontrollieren, beginnen Sie hier.“ – Marion Nestle, Professorin an der NYU und Autorin von „What to Eat and Food Politics Like Fast Food Nation“ und „Omnivore’s Dilemma, Austin Frerick’s Barons“, erzählt</t>
  </si>
  <si>
    <t>What You Need to Know About the New Qualified Health Claim for Yogurt: And why it should be used judiciously</t>
  </si>
  <si>
    <t>Berry On Dairy</t>
  </si>
  <si>
    <t>The news outlet interviewed Marion Nestle, the Paulette Goddard Professor of Nutrition, Food Studies and Public Health, Emerita, at New York University, who is a very vocal critique of processed foods and added sugars. </t>
  </si>
  <si>
    <t>Berry on Dairy</t>
  </si>
  <si>
    <t>Fm Universo 97.3</t>
  </si>
  <si>
    <t>WHBG-AM (Harrisonburg, VA)</t>
  </si>
  <si>
    <t>Yogurt can make limited claim to reduce risk of type 2 diabetes, FDA says</t>
  </si>
  <si>
    <t>Pedfire</t>
  </si>
  <si>
    <t>You may be eating 'predigested' food. Here's what that means</t>
  </si>
  <si>
    <t>– Marion Nestle, professor of nutrition, food studies and public health
Estimates say 73% of the food supply in the United States is made up of ultraprocessed foods.</t>
  </si>
  <si>
    <t>Lunchables have high levels of lead and sodium, Consumer Reports finds</t>
  </si>
  <si>
    <t>Large packages are designed to make you overeat, said Marion Nestle, an emeritus professor of nutrition, food studies and public health at New York University and the author of “Soda Politics.” “If you can’t stop eating from big packages, don’t buy them,” she added.</t>
  </si>
  <si>
    <t>But Dr Marion Nestle, a professor emeritus at New York University and nutritionist, has told DailyMail.com there is so little of this nutrient in the bars that someone would have to eat ‘immoderate’ amounts in order to get enough.</t>
  </si>
  <si>
    <t>Marion Nestle, a food policy expert, previously told the Daily Mail, that the idea that high sugar yogurt brands are healthy is ‘ridiculous’ and not evidence based. 
If you still want to enjoy a dairy treat, Manaker recommended picking a high-protein yogurt without fruit added. 
Reference</t>
  </si>
  <si>
    <t>Es posible que estés comiendo alimentos predigeridos sin saberlo. Este es el porqué</t>
  </si>
  <si>
    <t>JLA Noticias</t>
  </si>
  <si>
    <t>Pero estamos pagando un precio, dijo Marion Nestlé, profesora emérita Paulette Goddard de nutrición, estudios alimentarios y salud pública en la Universidad de Nueva York, que ha escrito libros sobre política de la industria alimentaria.</t>
  </si>
  <si>
    <t>Estos son los alimentos ultraprocesados ​​que más debes evitar, según un estudio de 30 años</t>
  </si>
  <si>
    <t>KID Newsradio</t>
  </si>
  <si>
    <t xml:space="preserve">  Los yogures ahora pueden afirmar de forma limitada que reducen el riesgo de diabetes tipo 2, dice la FDA</t>
  </si>
  <si>
    <t>Marion Nestle, nutricionista y bióloga molecular, se hizo eco de los sentimientos de Passerrello y agregó que “las afirmaciones calificadas sobre propiedades saludables son ridículas a primera vista”.</t>
  </si>
  <si>
    <t>FDA Allows Limited Claim: Yogurt Can Reduce Risk of Type 2 Diabetes</t>
  </si>
  <si>
    <t>Breaking Latest News</t>
  </si>
  <si>
    <t>Marion Nestle, a nutritionist and molecular biologist, criticizes the claim, calling for common sense in evaluating health claims and emphasizing the importance of a balanced diet in disease prevention. Previous research suggests limiting added sugar consumption to reduce the risk of diabetes.</t>
  </si>
  <si>
    <t>News Leaflets</t>
  </si>
  <si>
    <t>NewsConquest</t>
  </si>
  <si>
    <t>Are Seed Oils Bad for You?</t>
  </si>
  <si>
    <t>Just not much,” says Marion Nestle, the Paulette Goddard professor emerita of nutrition, food studies, and public health at New York University.</t>
  </si>
  <si>
    <t>Yogurts can make limited claim that the food reduces risk of type 2 diabetes: FDA</t>
  </si>
  <si>
    <t>Verve Times</t>
  </si>
  <si>
    <t>Food policy expert Marion Nestle criticized qualified health claims based on limited evidence as “ridiculous,” suggesting that belief in such claims should not be solely based on evidence.
___
The Associated Press Health and Science Department is supported by the Howard Hughes Medical Institute’</t>
  </si>
  <si>
    <t>Canadian Reviews</t>
  </si>
  <si>
    <t>Seeing viral pig TikToks? It's a government-backed group that's getting Gen Z to take on them.</t>
  </si>
  <si>
    <t>Good Word News</t>
  </si>
  <si>
    <t>Marion Nestle , Paulette Goddard Distinguished Professor of Nutrition, Food Studies and Public Health at New York University.
 Song wouldn’t necessarily advise a complete rejection of all ultra-processed foods because it’s a diverse category, he said.</t>
  </si>
  <si>
    <t>“Lunchables are ultra-processed junk food for kids,” said Marion Nestle, a retired professor of nutrition, food studies and public health at New York University. “Why anyone would think these foods are appropriate for school lunches is beyond me. Yes, they are cheap and yes, kids love them.</t>
  </si>
  <si>
    <t>Healthier Alternatives to Valentine's Day Candy: NPR</t>
  </si>
  <si>
    <t>It is also quite salty and high in fat, so it falls into the category of drinks to be consumed in moderation,” said Marion Nestlé, professor of nutrition, food studies and public health at New York University, in an email to NPR.</t>
  </si>
  <si>
    <t>News Blast</t>
  </si>
  <si>
    <t>Got chocolate milk? As US schools consider a ban, an old, sketchy study holds sway | School meals</t>
  </si>
  <si>
    <t>The Madras Tribune</t>
  </si>
  <si>
    <t>Marion Nestle, a public health advocate and nutrition professor who has written extensively about conflicts of interest in nutrition research, said: “The dairy industry did a really great job of convincing people that milk was an essential food.</t>
  </si>
  <si>
    <t>If you’re expecting a lecture from nutrition and public health expert Marion Nestle, guess again. Nestle doesn’t do breakfast, either. “I prefer eating when I’m hungry, and I rarely get hungry before 10:30 or later,” she said.</t>
  </si>
  <si>
    <t>WVSC-FM (Bluffton, SC)</t>
  </si>
  <si>
    <t>persfin.co.za</t>
  </si>
  <si>
    <t>Xylitol Danger: Study Links Sugar Substitute to Cardiovascular Risks</t>
  </si>
  <si>
    <t>Counsel &amp; Heal</t>
  </si>
  <si>
    <t>Marion Nestle, emeritus professor of nutrition at New York University, stressed the significance of the study, saying, "This study adds to a growing body of literature on the potential physiological problems caused by artificial sweeteners.</t>
  </si>
  <si>
    <t>Maaari nang Mag-angkin ang Yogurt na Maaaring Mabawasan ang Panganib ng Diyabetes</t>
  </si>
  <si>
    <t>philpr.com</t>
  </si>
  <si>
    <t>Sinabi ni Marion Nestle, isang eksperto sa patakaran sa pagkain, na ang mga kwalipikadong pahayag tungkol sa kalusugan batay sa limitadong ebidensya ay “katawa-tawa sa kanilang mukha.”
“Translation: Kung gusto mong maniwala dito, maganda, ngunit hindi ito batay sa ebidensya,” aniya.</t>
  </si>
  <si>
    <t>CONFLICTS OF INTEREST OP-ED: Nestlé partnership with University of Pretoria raises critical corporate capture questions (Part 2)</t>
  </si>
  <si>
    <t>Banoyi</t>
  </si>
  <si>
    <t>Marion Nestlé (no relation to Nestlé the company), a molecular biologist and nutritionist, has said that research funded by industry tends to favour the industry — this is known as The Funding Effect.</t>
  </si>
  <si>
    <t>Marion Nestle, the Paulette Goddard professor emerita of nutrition, food studies and public health at New York University.
Do we need to get rid of all ultraprocessed foods?</t>
  </si>
  <si>
    <t>CONFLICTS OF INTEREST OP-ED: Transformative partnership or corporate capture? Nestlé funding research in Africa (Part 1)</t>
  </si>
  <si>
    <t>Marion Nestlé (no relation), a molecular biologist and nutritionist, has said that research funded by industry tends to favour the industry, in what is known as the “funding effect”. </t>
  </si>
  <si>
    <t>News Sniffer</t>
  </si>
  <si>
    <t>ititpro.com - das it-Business Portal</t>
  </si>
  <si>
    <t>ititpro.com</t>
  </si>
  <si>
    <t>From added sugar to sodium, here's how US dietary recommendations have changed over the last 50 years - Mainstreet Messenger</t>
  </si>
  <si>
    <t>Claremont Messenger</t>
  </si>
  <si>
    <t>Public health advocates push Olympics to drop Coca-Cola sponsorship : Shots</t>
  </si>
  <si>
    <t>The IOC’s response to the editorial came as no surprise to Marion Nestle, a professor emerita of nutrition, food studies and public health at New York University.
“Too much money is at stake for the IOC to refuse it,” she said in an email.</t>
  </si>
  <si>
    <t>Publisher's Platform: What you need to know about E. coli during an Outbreak</t>
  </si>
  <si>
    <t>[4]           Marion Nestle, Safe Food:  Bacteria, Biotechnology, and Bioterrorism, 40-41 (1st Pub. Ed. 2004).
[5]           James M. Jay, MODERN FOOD MICROBIOLOGY at 21 (6th ed. 2000). (“This is clearly the most widely studied genus of all bacteria.”)
[6]           Beth B.</t>
  </si>
  <si>
    <t>Weight loss drugs are shaking up Big Food, Ag and Health. Experts weigh in on what the industry should do</t>
  </si>
  <si>
    <t>Publisher's Platform: What you need to know about E. coli during and Outbreak</t>
  </si>
  <si>
    <t>The fuzzy science on whether your pet is actually good for you</t>
  </si>
  <si>
    <t>“Industry-funded studies tend to produce results that favor the sponsor’s interest,” said Marion Nestle, an emeritus professor at New York University who has spent decades studying corporate influence on science.</t>
  </si>
  <si>
    <t>2024 - Edward Norton spricht als Erzähler in der Wellness-Doku „Fasting And The Longevity Revolution“ unter der Regie von „BlacKkKlansman“-Herausgeber Barry Alexander Brown</t>
  </si>
  <si>
    <t>News Text Area</t>
  </si>
  <si>
    <t>Führende Ernährungsexperten wie Valter Longo, Eric Ravussin, Marion Nestle, John Kopchick, Satchin Panda, Hanno Pijl und Bernard Escudier werden in der Dokumentation zu Wort kommen.</t>
  </si>
  <si>
    <t>KRNT-AM (Des Moines, IA)</t>
  </si>
  <si>
    <t>Insight of the Day: Why, Exactly, Are Ultraprocessed Foods So Hard to Resist? This Study Is Trying to Find Out.</t>
  </si>
  <si>
    <t>InsightTrendsWorld</t>
  </si>
  <si>
    <t>Marion Nestle, an emeritus professor of nutrition
Dr. Tera Fazzino, an assistant professor of psychology
Dr. Josiemer Mattei, an associate professor of nutrition
Dr. </t>
  </si>
  <si>
    <t>保莱特·戈达德 (Paulette Goddard) 营养学、食品研究和纽约大学公共卫生营养学荣誉教授马里昂·内斯特 (Marion Nestle) 博士表示，这项研究的结果与该领域数百个其他研究结果一致。
他指宋博士的研究显示不要完全拒绝所有的超加工食品， 例如也被认为是超加工食品的谷物、全麦面包，它们含有各种有益的营养素，如纤维、维生素和矿物质。他认为人们应该尽量避免或限制某些超加工食品的消费，例如加工肉类、含糖饮料以及可能的人工甜味饮料。</t>
  </si>
  <si>
    <t>Inside the push for dietary guidance on ultraprocessed foods — and why it’s failing right now - Health Reporter</t>
  </si>
  <si>
    <t>They couldn’t lie, they couldn’t cheat, they couldn’t do anything except to eat what they were given,” said molecular biologist and nutrition scientist Marion Nestle, who is the Paulette Goddard Professor of Nutrition, Food Studies and Public Health, Emerita at New York University.</t>
  </si>
  <si>
    <t>Aqui estão os alimentos ultraprocessados ​​que você deve evitar, de acordo com um estudo de 30 anos</t>
  </si>
  <si>
    <t>Bemmais Brasilia</t>
  </si>
  <si>
    <t>Marion Nestle, Professora Emérita Paulette Goddard de Estudos de Nutrição e Alimentos, disse que as descobertas deste estudo foram consistentes com centenas de outros estudos neste campo, mas o que torna este estudo único é a análise de diferentes subgrupos dentro da categoria de ultra- alimentos processados</t>
  </si>
  <si>
    <t>WJSU-FM</t>
  </si>
  <si>
    <t>News Online 24</t>
  </si>
  <si>
    <t>Todays Chronic</t>
  </si>
  <si>
    <t>New Way To Treat Parkinsons Disease Inspired By…</t>
  </si>
  <si>
    <t>Archynetys</t>
  </si>
  <si>
    <t>Marion Nestle, a renowned nutritionist and professor emeritus at New York University, the idea that one chocolate bar can be healthier than another is a fallacy, regardless of its darkness.</t>
  </si>
  <si>
    <t>El consumo de yogurt estaría vinculado a un menor riesgo de diabetes, según la FDA</t>
  </si>
  <si>
    <t>CN38</t>
  </si>
  <si>
    <t>La experta en políticas alimentarias, Marion Nestlé, calificó las afirmaciones basadas en evidencia limitada como “ridículas a primera vista”.</t>
  </si>
  <si>
    <t>Argentinos.es</t>
  </si>
  <si>
    <t>Daily Guardian CA</t>
  </si>
  <si>
    <t>The Fuzzy Science on Whether Fido Is Actually Good for You</t>
  </si>
  <si>
    <t>Tu Salud</t>
  </si>
  <si>
    <t>Expert reveals sinister reason why Froot Loops won't remove cancer-related dyes from their products</t>
  </si>
  <si>
    <t>USMAIL24</t>
  </si>
  <si>
    <t>But despite mounting pressure, the grain giant is unlikely to make any changes, said Marion Nestle, a top nutritionist who was a professor at New York University for almost 30 years.</t>
  </si>
  <si>
    <t>Ozempic: los riesgos y cambios a nivel cerebral que produce el medicamento de moda para bajar de peso</t>
  </si>
  <si>
    <t>Nina FM La Diferente</t>
  </si>
  <si>
    <t>“Es una amenaza existencial a la industria alimentaria y, desde luego, una amenaza existencial a la industria de los alimentos procesados”, explicó Marion Nestle, profesora emérita de Nutrición, Estudios Alimentarios y Salud pública de la Universidad de Nueva York, en una nota de The New York Times.</t>
  </si>
  <si>
    <t>WDC News 6</t>
  </si>
  <si>
    <t>Let’s Not Fool Ourselves About Yogurt</t>
  </si>
  <si>
    <t>As the New York University nutrition professor Marion Nestle has written, “Yogurt, it seems, has performed a marketing miracle: it is a fast-selling dessert with the aura of a health food.”</t>
  </si>
  <si>
    <t>The IOC’s response to the editorial came as no surprise to Marion Nestle, a professor emerita of nutrition, food studies and public health at New York University.
“Too much money is at stake for the IOC to refuse it,” she said in an email.
She called the Responsible Marketing Policy “a joke.”</t>
  </si>
  <si>
    <t>WIII-FM</t>
  </si>
  <si>
    <t>WMQR-FM (Harrisonburg, VA)</t>
  </si>
  <si>
    <t>From added sugar to sodium, here's how US dietary recommendations have changed over the last 50 years - The Wayne Herald</t>
  </si>
  <si>
    <t>The Wayne Herald</t>
  </si>
  <si>
    <t>Marion Nestle, a food policy expert, said qualified health claims based on limited evidence are "ridiculous on their face."</t>
  </si>
  <si>
    <t>Marion Nestle, a food policy expert, said qualified health claims based on limited evidence are "ridiculous on their face."
___
The Associated Press Health and Science Department receives support from the Howard Hughes Medical Institute's Science and Educational Media Group.</t>
  </si>
  <si>
    <t>US Pushed Countries to Weaken Infant Formula Regulations, Documents Show</t>
  </si>
  <si>
    <t>According to Marion Nestle, professor emerita of nutrition, food studies and public health at New York University:
David Clark, a former legal specialist with UNICEF and an international public health law consultant, likens the U.S. government to a "bully in the playground," using its strength and power</t>
  </si>
  <si>
    <t>'It is too easy for food manufacturers to reformulate sugar, salt and fat to meet standards for those nutrients and still produce a junk food,' said Marion Nestle, a retired professor of nutrition, food studies and public health at New York University."</t>
  </si>
  <si>
    <t>The IOC's response to the editorial came as no surprise to Marion Nestle, a professor emerita of nutrition, food studies and public health at New York University.
"Too much money is at stake for the IOC to refuse it," she said in an email.
She called the Responsible Marketing Policy "a joke."</t>
  </si>
  <si>
    <t>Fyne Fettle</t>
  </si>
  <si>
    <t>What ‘no cholesterol’ and ‘gluten free’ mean on food labels</t>
  </si>
  <si>
    <t>“If the marketing is done well, it slips through the radar of critical thinking,” says Marion Nestle, professor of nutrition and food studies at New York University. “It’s designed to make you think emotionally, and before you know it, you’ve picked up a box of junk masquerading as health food.”</t>
  </si>
  <si>
    <t>Marion Nestle, a food policy expert, said qualified health claims based on limited evidence are “ridiculous on their face.”
“Translation: If you want to believe this, go ahead, but it’s not on the basis of evidence,” she said.</t>
  </si>
  <si>
    <t>From added sugar to sodium, here's how US dietary recommendations have changed over the last 50 years</t>
  </si>
  <si>
    <t>WVYB-FM (Daytona Beach, FL)</t>
  </si>
  <si>
    <t>New York University nutrition expert Marion Nestle, who served on the 1995 advisory panel, told The New York Times, “In my view, the advice is the same: Eat your vegetables, don’t gain too much weight, and avoid junk foods with a lot of salt, sugar, and saturated fat.” Story editing by Carren Jao.</t>
  </si>
  <si>
    <t>KZNT-AM (Colorado Springs, CO)</t>
  </si>
  <si>
    <t>Marion Nestle to discuss ‘food politics’ in Wolitzer seminar</t>
  </si>
  <si>
    <t>SmallNews</t>
  </si>
  <si>
    <t>Marion Nestle, a food policy expert and public health advocate, will share her experience bridging research, policy and public engagement in a talk, “Food Politics: An Agenda for 2024.” </t>
  </si>
  <si>
    <t>Marion Nestle to Discuss ‘Food Politics’ in Wolitzer Seminar</t>
  </si>
  <si>
    <t>She was assigned to teach a course in nutrition, an…
Read More…
Source: https://www.morningagclips.com/marion-nestle-to-discuss-food-politics-in-wolitzer-seminar/</t>
  </si>
  <si>
    <t>WBCO-AM (Bucyrus, OH)</t>
  </si>
  <si>
    <t>WKRO-FM (Daytona Beach, FL)</t>
  </si>
  <si>
    <t>Usa-today-news.com</t>
  </si>
  <si>
    <t>Marion Nestle, a former nutrition policy adviser to HHS who worked on the alcohol recommendations when the guidelines were updated in 1995, said the alcohol industry is “frantic” about how the dietary guidelines could be updated.</t>
  </si>
  <si>
    <t>Marion Nestle, the Paulette Goddard professor emerita of nutrition, food studies and public health at New York University.</t>
  </si>
  <si>
    <t>6 Misleading Food Labels</t>
  </si>
  <si>
    <t>Digitpatrox</t>
  </si>
  <si>
    <t>“If the advertising is completed nicely, it slips by means of the radar of vital pondering,” says Marion Nestle, PhD, professor of diet and meals research at New York University.</t>
  </si>
  <si>
    <t>Pioneer Newz</t>
  </si>
  <si>
    <t>WNND-FM (Columbus, OH)</t>
  </si>
  <si>
    <t>Obesity and a Toxic Food Environment</t>
  </si>
  <si>
    <t>Moneyhaat</t>
  </si>
  <si>
    <t>“Certainly not the agriculture, food product, grocery, restaurant, diet, or drug industries,” wrote emeritus professor Marion Nestle in a Science editorial when she was chair of nutrition at New York University.</t>
  </si>
  <si>
    <t>Chronicles Live</t>
  </si>
  <si>
    <t>Una dieta rica en frutas y verduras puede reducir el riesgo de enfermedades cardíacas y renales, según estudio</t>
  </si>
  <si>
    <t>NotiUlti</t>
  </si>
  <si>
    <t>Marion Nestle, profesora emérita Paulette Goddard de Nutrición, Estudios Alimentarios y Salud Pública en la Universidad de Nueva York. Ella no participó en la investigación.
 “Sabemos esto desde hace mucho tiempo, pero es bueno que a los beneficios se sumen menos enfermedades renales”, afirmó.</t>
  </si>
  <si>
    <t>Una dieta rica en frutas y verduras puede reducir el riesgo de enfermedades cardíacas y renales, según un estudio</t>
  </si>
  <si>
    <t>Marion Nestle, profesora emérita Paulette Goddard de Nutrición, Estudios Alimentarios y Salud Pública en la Universidad de Nueva York. Ella no participó en la investigación.
“Lo sabemos desde hace mucho tiempo, pero es bueno que a los beneficios se sumen menos enfermedades renales”, dijo.</t>
  </si>
  <si>
    <t>Regândirea alimentelor ultraprocesate și reformularea produselor</t>
  </si>
  <si>
    <t>Meat.Milk (Romania )</t>
  </si>
  <si>
    <t>Boala, anumite tipuri de cancer și mortalitatea anterioară,
expertul în nutriție și politici publice Marion Nestle a explicat într-un
episod din Chicago Booth Review.</t>
  </si>
  <si>
    <t>WJYI-AM (Milwaukee, WI)</t>
  </si>
  <si>
    <t>Denison Bulletin &amp; Review</t>
  </si>
  <si>
    <t>Is Owning a Pet Really Beneficial for Your Health?</t>
  </si>
  <si>
    <t>Tech War</t>
  </si>
  <si>
    <t>“Industry-funded studies tend to produce results that favor the sponsor's interest,” said Marion Nestle, an emeritus professor at New York University who has spent decades studying corporate influence on science.</t>
  </si>
  <si>
    <t>Review: Food Inc. 2</t>
  </si>
  <si>
    <t>It's Just Movies</t>
  </si>
  <si>
    <t>Rating: 10/10
Credits
Directors: Robert Kenner &amp; Melissa Robledo
Producers: Michael Pollan &amp; Eric Schlosser
Featuring: Michael Pollan, Gerardo Reyes-Chavez, Eric Schlosser, Zack Smith, Sheriff Tony Thompson, Marion Nestle, Cory Booker, Jon Tester and others
Music: Mark Adler
Cinematography: Jay</t>
  </si>
  <si>
    <t>Yogurt Can Now Declare It Would possibly Scale back the Possibility of Diabetes</t>
  </si>
  <si>
    <t>Business News Press</t>
  </si>
  <si>
    <t>Marion Nestle, a meals coverage skilled, stated certified well being claims in response to restricted proof are “ridiculous on their face.”
“Translation: If you wish to imagine this, pass forward, however it isn’t at the foundation of proof,” she stated.</t>
  </si>
  <si>
    <t>The Invention of Baby Food</t>
  </si>
  <si>
    <t>Eat This Podcast by Jeremy Cherfas</t>
  </si>
  <si>
    <t>I’ve been trying to keep you up-to-date with the lead contamination story in Eat This Newsletter, but just last week Marion Nestle took a look at lead and pesticides in baby food.
Here is the transcript.
I took the photos of baby food.
   Huffduff it</t>
  </si>
  <si>
    <t>USA News Site</t>
  </si>
  <si>
    <t>“Sekreti” i dietës për një zemër dhe veshka më të shëndetshme</t>
  </si>
  <si>
    <t>tirananews.al</t>
  </si>
  <si>
    <t>Marion Nestle.
Pse duhet të shmangni acidin? Fokusi i studimeve laboratorike të Wesson është mënyra në të cilën veshka heq acidin nga gjaku dhe e hedh atë përmes urinës.</t>
  </si>
  <si>
    <t>“Sekreti” i dietës për zemër dhe veshka më të shëndetshme</t>
  </si>
  <si>
    <t>“Sekreti” i dietës për një zemër më të shëndetshme</t>
  </si>
  <si>
    <t>Skip candy this Valentine's Day. Here are some healthier options</t>
  </si>
  <si>
    <t>KACU-FM</t>
  </si>
  <si>
    <t>It's also quite salty and high in fat, so it falls in the category of enjoy in moderation," said Marion Nestle, professor of nutrition, food studies and public health at New York University, in an email to NPR.
Stay away from the overly processed kind, which tends to be higher in sodium.</t>
  </si>
  <si>
    <t>The IOC’s response to the editorial came as no surprise to Marion Nestle, a professor emerita of nutrition, food studies and public health at New York University.
“Too much money is at stake for the IOC to refuse it,” she said in an email.</t>
  </si>
  <si>
    <t>WREE-FM (Urbana, IL)</t>
  </si>
  <si>
    <t>WETS-FM (Tri-Cities, TN)</t>
  </si>
  <si>
    <t>The New York Produce Show and Conference-2024</t>
  </si>
  <si>
    <t>World Liberty TV</t>
  </si>
  <si>
    <t>Main speaker Marion Nestle, the Paulette Goddard Professor of Nutrition, Food Studies, and Public Health, Emerita, at New York University, presented a provocative message looking at produce prescriptions and the politics of dietary choice and influencing consumption.</t>
  </si>
  <si>
    <t>KTRB-AM (Fremont, CA)</t>
  </si>
  <si>
    <t>WLOV-FM (Daytona Beach, FL)</t>
  </si>
  <si>
    <t>Movie Review: ‘Food, Inc. 2’ revisits food system, sees reason for frustration and (a little) hope</t>
  </si>
  <si>
    <t>Virden Empire-Advance</t>
  </si>
  <si>
    <t>More 104.9</t>
  </si>
  <si>
    <t>WVMX-FM (Columbus, OH)</t>
  </si>
  <si>
    <t>News Concerns</t>
  </si>
  <si>
    <t>Marion Nestle, biologist and nutritionist at New York University, looks back a few decades and marvels at how food has has become something available anytime, anywhere: “You go into a clothing store and there are candy bars at the checkout counter.”</t>
  </si>
  <si>
    <t>Red light therapy is trendy, but does it work? The biggest wellness trends of 2024 | Well actually</t>
  </si>
  <si>
    <t>According to Consumer Reports, Lunchables are high in lead and sodium</t>
  </si>
  <si>
    <t>NewsBeezer</t>
  </si>
  <si>
    <t>“Lunchables are highly processed junk foods for children,” said Marion Nestle, retired professor of nutrition, food studies and public health at New York University. “Why anyone would think these are suitable for school lunches is beyond me. Yes, they are cheap and yes, kids like them.</t>
  </si>
  <si>
    <t>Why experts say there’s “no such thing as healthy chocolate” - and $20 “raw” and extra-dark varieties are just as bad as Hershey’s</t>
  </si>
  <si>
    <t>Marion Nestle, a professor emeritus at New York University and a nutritionist, told DailyMail.com that the bars contain so little of the nutrient that someone would have to eat “inordinate” amounts to get enough.</t>
  </si>
  <si>
    <t>Highly processed foods are under regulatory control due to health concerns</t>
  </si>
  <si>
    <t>Highly processed, according to nutritionist Marion Nestle, are “industrially produced foods that are formulated to be irresistibly delicious but cannot be produced in the home kitchen.”
This category can include many breakfast cereals, yoghurts, chicken nuggets and plant-based meat alternatives.</t>
  </si>
  <si>
    <t>You may be eating “pre-digested” food. Here’s what that means</t>
  </si>
  <si>
    <t>– Marion Nestle, Professor of Nutrition, Food Studies and Public Health
It is estimated that 73% of the food supply in the United States consists of highly processed foods.</t>
  </si>
  <si>
    <t>Yogurts are limited in their ability to claim that the food reduces the risk of type 2 diabetes, the FDA says</t>
  </si>
  <si>
    <t>Marion Nestle, a food policy expert, said qualified health claims based on limited evidence were “on the face of it ridiculous.”
“Translation: If you want to believe that, go ahead, but it’s not based on evidence,” she said.</t>
  </si>
  <si>
    <t>According to the FDA, yogurt’s claims to reduce the risk of type 2 diabetes are limited</t>
  </si>
  <si>
    <t>Marion Nestle, a nutritionist and molecular biologist, echoed Passerrello’s sentiments, adding that “qualified health claims are, on their face, ridiculous.”
 “Why would any reasonable person think that all you need to do to prevent type 2 diabetes is eat two cups of yogurt a week?”</t>
  </si>
  <si>
    <t>Yogurts are now limited in their ability to claim that the food reduces the risk of diabetes, the FDA says</t>
  </si>
  <si>
    <t>Xylitol sweetener is linked to a higher risk of heart attack and stroke; experts analyze</t>
  </si>
  <si>
    <t>“This study adds to a growing body of literature on the potential physiological problems caused by artificial sweeteners,” Marion Nestle, professor emeritus of nutrition at New York University, wrote in an email. “Researchers are gradually finding problems with xylitol.”</t>
  </si>
  <si>
    <t>According to 30 years of research, highly processed foods are linked to early death</t>
  </si>
  <si>
    <t>Marion Nestle, Professor Emeritus of Nutrition, Food Studies and Paulette Goddard of Public Health at New York University.
 Song wouldn’t necessarily advise a complete rejection of all highly processed foods because it’s a diverse category, he said.</t>
  </si>
  <si>
    <t>Sugar or sweetener? The risks of artificial substitutes in the body</t>
  </si>
  <si>
    <t>Jim Krieger, professor emeritus at the University of Washington, and Marion Nestle, professor emeritus at New York University, agree that studies on the long-term effects of sweeteners in humans are complicated to conduct.</t>
  </si>
  <si>
    <t>O adoçante xilitol está associado a um maior risco de ataque cardíaco e derrame; especialistas analisam</t>
  </si>
  <si>
    <t>“Este estudo contribui para um crescente corpo de literatura sobre os potenciais problemas fisiológicos causados ​​pelos adoçantes artificiais”, escreveu Marion Nestle, professora emérita de nutrição na Universidade de Nova Iorque, por e-mail.</t>
  </si>
  <si>
    <t>Radio Insular FM</t>
  </si>
  <si>
    <t>WIXY 100.3</t>
  </si>
  <si>
    <t>WFEA-AM (Manchester, NH)</t>
  </si>
  <si>
    <t>Can RFK Jr Make America's Diet Healthy Again?</t>
  </si>
  <si>
    <t>World News Era</t>
  </si>
  <si>
    <t>EXCLUSIVEWhy experts say there's 'no such thing' as healthy chocolate - and $20 'raw' and extra dark varieties are just as bad as Hershey's</t>
  </si>
  <si>
    <t>UK-Times</t>
  </si>
  <si>
    <t>70% de tu dieta te está enfermando: el peligro de los ultraprocesados</t>
  </si>
  <si>
    <t>Hecho En California</t>
  </si>
  <si>
    <t>Marion Nestle, experta en nutrición de la Universidad de Nueva York, señaló que “ya sabemos que estos alimentos hacen que las personas coman más de lo que necesitan, sin darse cuenta de que lo hacen”.</t>
  </si>
  <si>
    <t>El plan de Robert F. Kennedy Jr. para hacer “saludable” a Estados Unidos preocupa a los expertos en salud | CNN</t>
  </si>
  <si>
    <t>corporativo, eliminar los conflictos de intereses entre la industria y el gobierno, sacar los productos químicos tóxicos del suministro de alimentos y hacer todo lo posible para reorientar el entorno alimentario y los consejos dietéticos hacia la salud”, escribió la investigadora en política alimentaria Marion … Nestle en su blog Food Politics.</t>
  </si>
  <si>
    <t>Son hasta el 70% de la dieta estadounidense, pero EE.UU. no tiene una política sobre alimentos ultraprocesados | CNN</t>
  </si>
  <si>
    <t>No podían mentir, no podían hacer trampas, no podían hacer nada excepto comer lo que se les daba”, dijo la bióloga molecular y científica de la nutrición Marion Nestle, que es la profesora emérita Paulette Goddard de Nutrición, Estudios Alimentarios y Salud Pública en la Universidad de Nueva York.</t>
  </si>
  <si>
    <t>Con estos dos simples cambios en la alimentación, los estadounidenses pueden tener una vida más larga y saludable</t>
  </si>
  <si>
    <t>“Desde 1980, las recomendaciones han sido consistentes: comer más vegetales y reducir alimentos ricos en sal, azúcar y grasas saturadas”, señaló a Fortune Marion Nestle, experta en política alimentaria.</t>
  </si>
  <si>
    <t>Expert Reveals Sinister Reason Froot Loops Won't Remove Cancer-linked Dyes From Their Products</t>
  </si>
  <si>
    <t>British Bulletin</t>
  </si>
  <si>
    <t>But despite mounting pressure, the cereal giant is unlikely to make changes, according to Marion Nestle, a top nutritionist who was a professor at New York University for almost 30 years.</t>
  </si>
  <si>
    <t>WYXY-FM (Savoy, IL)</t>
  </si>
  <si>
    <t>NewsyList</t>
  </si>
  <si>
    <t>Industry to WAG Loop: Start implementation now! – 2024-03-02 10:39:59 - NewsyList</t>
  </si>
  <si>
    <t>Marion Nestle criticized the idea of using yogurt as a‌ preventive measure for type 2 diabetes, emphasizing the multifactorial nature of the disease. She questioned the effectiveness of sweetened yogurts in diabetes prevention.</t>
  </si>
  <si>
    <t>The government is buying fertilizer worth Tk 439 crore – 2024-03-02 03:47:45 - NewsyList</t>
  </si>
  <si>
    <t>Marion Nestle, a nutritionist,⁢ criticized the idea of qualified health claims, questioning the effectiveness of yogurt in preventing type 2 diabetes.</t>
  </si>
  <si>
    <t>Yogurt as an ally against type 2 diabetes? What the experts say – 2024-04-18 12:42:17 - NewsyList</t>
  </si>
  <si>
    <t>Food policy expert Marion Nestle told The Associated Press that qualified health claims are “ridiculous on their face.” ”Translation: if you want to believe this, go ahead, but it’s not based on evidence,” she added.
SOURCE: U.S.</t>
  </si>
  <si>
    <t>the QUBE 88.9 FM (CJMQ) : News</t>
  </si>
  <si>
    <t>CJMQ-FM</t>
  </si>
  <si>
    <t>¿Por qué es tan difícil resistirse a los alimentos ultraprocesados?</t>
  </si>
  <si>
    <t>Radio DoGo</t>
  </si>
  <si>
    <t>¿Comes yogurt? La FDA dice que podría reducir el riesgo de diabetes</t>
  </si>
  <si>
    <t>Salud News</t>
  </si>
  <si>
    <t>Marion Nestlé, experta en políticas alimentarias, dijo que las afirmaciones calificadas sobre propiedades saludables basadas en evidencia limitada son “ridículas a primera vista”.</t>
  </si>
  <si>
    <t>Akron News-Reporter</t>
  </si>
  <si>
    <t>Yogurt reduces Type 2 diabetes risks</t>
  </si>
  <si>
    <t>Trinity Mirror (India)</t>
  </si>
  <si>
    <t>Marion Nestle, a food policy expert, said qualified health claims based on limited evidence are “ridiculous on their face.”
                    Type 2 diabetes, Yogurt</t>
  </si>
  <si>
    <t>Charleston Sun-Sentinel</t>
  </si>
  <si>
    <t>WYSU-FM (Youngstown, OH)</t>
  </si>
  <si>
    <t>KUQL</t>
  </si>
  <si>
    <t>WVVR-FM (Hopkinsville, KY)</t>
  </si>
  <si>
    <t>“WE ARE NATURE”, IL MESSAGGIO DI TERRA MADRE SALONE DEL GUSTO 2024 (TORINO, 26-30 SETTEMBRE)</t>
  </si>
  <si>
    <t>slowfoodvalliorobiche.it</t>
  </si>
  <si>
    <t>In collegamento dagli Usa, la biologa ed esperta di politiche alimentari Marion Nestle, autrice di best seller come “Food Politics: How the Food Industry Influences Nutrition and Health” e “Unsavory Truth: How Food Companies Skew the Science of What We Eat”.</t>
  </si>
  <si>
    <t>Al hacer las compras, que no te ciegue el ‘halo de salud’</t>
  </si>
  <si>
    <t>Observatorio Calidad de Tenerife</t>
  </si>
  <si>
    <t>Wahoo Newspaper</t>
  </si>
  <si>
    <t>Brush News Tribune</t>
  </si>
  <si>
    <t>WVAS-FM (Montgomery, AL)</t>
  </si>
  <si>
    <t>KTNH-AM</t>
  </si>
  <si>
    <t>The Money Behind Ultra-Processed Foods, with Marion Nestle | Capitalisn't</t>
  </si>
  <si>
    <t>Capitalisn't</t>
  </si>
  <si>
    <t>Marion Nestle: I define it as you can't make it in your home kitchen.
Luigi: Which is pretty much the same definition.
Marion Nestle: Maybe we're saying the same thing.</t>
  </si>
  <si>
    <t>The Money Behind Ultra-Processed Foods, with Marion Nestle
Episode Summary
Critics of the food industry allege that it relentlessly pursues profits at the expense of public health.</t>
  </si>
  <si>
    <t>USA News Hub</t>
  </si>
  <si>
    <t>Food safety experts are “absolutely horrified” by the growing raw milk trend, says Dr Marion Nestle, the Paulette Goddard professor of nutrition, food studies, and public health, emerita, at New York University.</t>
  </si>
  <si>
    <t>WORL-AM (Orlando, FL)</t>
  </si>
  <si>
    <t>Marion Nestle, a food policy expert, said qualified health claims based on limited evidence are â€śridiculous on their face.â€ť
â€śTranslation: If you want to believe this, go ahead, but it's not on the basis of evidence,â€ť she said. 
___
The Associated Press Health and Science Department receives</t>
  </si>
  <si>
    <t>Marion Nestle, a food policy expert, said qualified health claims based on limited evidence are ‚Äúridiculous on their face.‚ÄĚ
___
The Associated Press Health and Science Department receives support from the Howard Hughes Medical Institute‚Äôs Science and Educational Media Group.</t>
  </si>
  <si>
    <t>ReportWire</t>
  </si>
  <si>
    <t>Marion Nestle, the Paulette Goddard professor emerita of nutrition, food studies and public health at New York University.Do we need to get rid of all ultraprocessed foods?Song wouldn’t necessarily advise a complete rejection of all ultraprocessed foods because it is a diverse category, he said.</t>
  </si>
  <si>
    <t>Marion Nestle, a food policy expert, said qualified health claims based on limited evidence are “ridiculous on their face.”
“Translation: If you want to believe this, go ahead, but it’s not on the basis of evidence,” she said.
 JONEL ALECCIA/AP
Source link</t>
  </si>
  <si>
    <t>A diet high in fruits and vegetables may reduce your heart and kidney disease risk, study says</t>
  </si>
  <si>
    <t>Marion Nestle, the Paulette Goddard Professor Emerita of Nutrition, Food Studies and Public Health at New York University. She was not involved in the research.
“We’ve known this for a long time but it’s good to have less kidney disease added to the benefits,” she said.
Why should you avoid acid?</t>
  </si>
  <si>
    <t>Consumo de yogurt estaría vinculado a menor riesgo de diabetes, según la FDA</t>
  </si>
  <si>
    <t>Diario QUIENOPINA.COM</t>
  </si>
  <si>
    <t>WCSU-FM</t>
  </si>
  <si>
    <t>Delta Democrat Times</t>
  </si>
  <si>
    <t>Delmarva Public Media</t>
  </si>
  <si>
    <t>Here are the ultraprocessed foods you most need to avoid, according to a 30-year study - CP24</t>
  </si>
  <si>
    <t>Canada News Media</t>
  </si>
  <si>
    <t>Marion Nestle, the Paulette Goddard professor emerita of nutrition, food studies and public health at New York University.
    Song wouldn’t necessarily advise a complete rejection of all ultraprocessed foods because it is a diverse category, he said.</t>
  </si>
  <si>
    <t>7 eating, drinking habits that increase your cancer risk</t>
  </si>
  <si>
    <t>Ultra-processed food tied to higher risk of early death, study finds. What to avoid - National | Globalnews.ca - Global News</t>
  </si>
  <si>
    <t>N.S. news: Hepatitis A case found</t>
  </si>
  <si>
    <t>KMXT-FM (Kodiak, AK)</t>
  </si>
  <si>
    <t>EXCLUSIVEWhy Experts Say There's 'no Such Thing' As Healthy Chocolate - And $20 'raw' And Extra Dark Varieties Are Just As Bad As Hershey's</t>
  </si>
  <si>
    <t>KDOW- Wall Street AM Radio</t>
  </si>
  <si>
    <t>Financial Times: Nestlé admite que la mayoría de sus productos no son saludables</t>
  </si>
  <si>
    <t>Diario de Salud</t>
  </si>
  <si>
    <t>Van a vender productos [comida chatarra] que lleguen a una audiencia masiva y sean comprados por tantas personas como sea posible", dijo Marion Nestle, profesora de la Universidad de Cornell, en EE.UU.</t>
  </si>
  <si>
    <t>KENW-TV (Portales, NM)</t>
  </si>
  <si>
    <t>Le marketing alimentaire à l’ère ozempique</t>
  </si>
  <si>
    <t>Home - Les Actualites</t>
  </si>
  <si>
    <t>“C’est une menace existentielle pour l’industrie alimentaire et certainement une menace existentielle pour l’industrie alimentaire transformée”, a déclaré Marion Nestlé, professeur émérite de nutrition, d’études alimentaires et de santé publique à l’Université de New York, qui a beaucoup écrit sur la</t>
  </si>
  <si>
    <t>Les plus grandes tendances bien-être de 2024 (jusqu’à présent) | En fait</t>
  </si>
  <si>
    <t>Mais les experts en sécurité alimentaire sont « absolument horrifiés » par cette tendance, a déclaré au Dr Marion Nestle, professeur émérite de nutrition, d’études alimentaires et de santé publique à l’Université de New York. le gardien en janvier. « La probabilité de tomber malade à cause du lait cru</t>
  </si>
  <si>
    <t>Non, vous n'avez pas besoin de boire du lait cru</t>
  </si>
  <si>
    <t>Les experts en sécurité alimentaire sont « absolument horrifiés » par la tendance croissante au lait cru, déclare le Dr Marion Nestle, professeur émérite Paulette Goddard de nutrition, d’études alimentaires et de santé publique à l’Université de New York. … Boire du lait de vache tue des bébés
Marion Nestlé
Pourtant, plus de deux douzaines d’États y compris La Californie, l’Idaho, le Nouveau-Mexique, la Pennsylvanie et l’Utah ont légalisé la vente de lait cru.</t>
  </si>
  <si>
    <t>Yogurt Makers Can Make Limited Claims About Type 2 Diabetes Prevention: FDA</t>
  </si>
  <si>
    <t>The Health Cast</t>
  </si>
  <si>
    <t>Food policy expert Marion Nestle told the Associated Press that qualified health claims are “ridiculous on their face.”
“Translation: If you want to believe this, go ahead, but it’s not on the basis of evidence,” she added.</t>
  </si>
  <si>
    <t>**Revamping American Nutrition: RFK Jr.'s Mission Against Processed Foods**</t>
  </si>
  <si>
    <t>The Global Herald</t>
  </si>
  <si>
    <t>Renowned nutrition expert Marion Nestle remarked that Kennedy is attempting to take on an entire industry, questioning whether Trump will support him in this endeavor.</t>
  </si>
  <si>
    <t>Ahora se puede afirmar que el yogur puede reducir el riesgo de diabetes</t>
  </si>
  <si>
    <t>Espanol News</t>
  </si>
  <si>
    <t>¿Podrá RFK Jr hacer que la dieta estadounidense vuelva a ser saludable?</t>
  </si>
  <si>
    <t>“Lo que sugiere es enfrentarse a la industria alimentaria”, dijo Marion Nestle, ex profesora de nutrición de la Universidad de Nueva York. “¿Trump lo respaldará en eso? Lo creeré cuando lo vea”.</t>
  </si>
  <si>
    <t>A pesar de Ozempic y RFK Jr., Uncrustables y Twinkies creen "muy firmemente que los snacks continúan"</t>
  </si>
  <si>
    <t>“La industria alimentaria debería estar temblando, pero no creen que eso vaya a suceder”, dijo Marion Nestlé, una autoridad líder en nutrición y política alimentaria de la Universidad de Nueva York, en una entrevista la semana pasada con Espanol.</t>
  </si>
  <si>
    <t>¿Es seguro comer huevos, pollo y productos lácteos?</t>
  </si>
  <si>
    <t>»
Marion Nestle, bióloga molecular y especialista en salud pública
En estos tiempos difíciles, no se trata de ceder a la psicosis. Siguiendo estos consejos podrás seguir disfrutando de una buena tortilla o de un pollo asado sin miedo. ¡Porque el placer no está reñido con la seguridad alimentaria!</t>
  </si>
  <si>
    <t>¿Tienes leche con chocolate? Mientras las escuelas estadounidenses consideran una prohibición, prevalece un estudio antiguo e incompleto | Comidas del colegio - Espanol News</t>
  </si>
  <si>
    <t>Marion Nestlé, defensora de la salud pública y profesora de nutrición que ha escrito extensamente sobre los conflictos de intereses en la investigación sobre nutrición, dijo: “La industria láctea hizo un gran trabajo al convencer a la gente de que la leche era un alimento esencial.</t>
  </si>
  <si>
    <t>El marketing de alimentos en la era ozempica</t>
  </si>
  <si>
    <t>“Es una amenaza existencial para la industria alimentaria y ciertamente una amenaza existencial para la industria de alimentos procesados”, dijo Marion Nestlé, profesor emérito de nutrición, estudios alimentarios y salud pública en la Universidad de Nueva York que ha escrito extensamente sobre política</t>
  </si>
  <si>
    <t>El obstáculo número uno de RFK Jr. para enfrentar la comida poco saludable: el dinero</t>
  </si>
  <si>
    <t>Difícil pero no imposible
Marion Nestle, profesora emérita de nutrición, estudios alimentarios y salud pública de la Universidad de Nueva York, dijo que incluso con fondos limitados, no es imposible enfrentarse a la industria alimentaria, y señaló que Kennedy no es la única figura pública que ha abordado</t>
  </si>
  <si>
    <t>RFK tendrá una temprana oportunidad de influir en lo que comen los estadounidenses</t>
  </si>
  <si>
    <t>Pero nutricionistas como Marion Nestlé, profesora de la Universidad de Nueva York, señalaron que el informe evitaba una crítica encarnizada de los alimentos ultraprocesados, uno de los principales objetivos de Kennedy.</t>
  </si>
  <si>
    <t>¿Es segura la leche cruda? Esto es lo que debe saber</t>
  </si>
  <si>
    <t>“Las infecciones causadas por la leche cruda son raras”, dice Marion Nestlé, profesora emérita de nutrición, estudios alimentarios y salud pública de la Universidad de Nueva York, “pero cuando ocurren pueden ser mortales, especialmente para los niños. Este es un riesgo que preferiría no correr”.</t>
  </si>
  <si>
    <t>No, no es necesario que bebas leche cruda | Bueno en realidad</t>
  </si>
  <si>
    <t>Marion Nestle, profesora emérita de nutrición, estudios alimentarios y salud pública Paulette Goddard en la Universidad de Nueva York.
“La pasteurización de la leche es uno de los grandes logros de salud pública del siglo XX”, dice Nestlé. “Beber leche de vaca solía matar a los bebés”.</t>
  </si>
  <si>
    <t>Las mayores tendencias de bienestar de 2024 (hasta ahora) | Bueno, en realidad</t>
  </si>
  <si>
    <t>Marion Nestle, profesora emérita de nutrición, estudios alimentarios y salud pública en la Universidad de Nueva York. El guardián en enero. “La probabilidad de enfermarse por la leche cruda es mayor que la probabilidad de enfermarse por la leche pasteurizada”, dijo.</t>
  </si>
  <si>
    <t>KNBA-FM (Anchorage, AK)</t>
  </si>
  <si>
    <t>The Enterprise-Tocsin</t>
  </si>
  <si>
    <t>Are Prebiotic Sodas Like Poppi Actually Good for Gut Health?</t>
  </si>
  <si>
    <t>Hispanic Business TV</t>
  </si>
  <si>
    <t>“If you eat a high fiber diet, you’re taking care of your prebiotics pretty well,” said Marion Nestle, an emeritus professor of nutrition, food studies and public health at New York University.
Inulin, the main prebiotic fiber used in these sodas, , such as agave or chicory root, said Dr.</t>
  </si>
  <si>
    <t>WGKA-AM (Atlanta, GA)</t>
  </si>
  <si>
    <t>The Carolinian Newspaper</t>
  </si>
  <si>
    <t>From added sugar to sodium, here's how US dietary recommendations have changed over the last 50 years - Longfellow Nokomis Messenger</t>
  </si>
  <si>
    <t>Longfellow Nokomis Messenger</t>
  </si>
  <si>
    <t>“Food, Inc., 2” revisits food system</t>
  </si>
  <si>
    <t>The Riverbank News</t>
  </si>
  <si>
    <t>Marion Nestle, biologist and nutritionist at New York University, looks back a few decades and marvels at how food has become something available anytime, anywhere: "You go into a clothing store and there are candy bars at the checkout counter."</t>
  </si>
  <si>
    <t>Colostrum bovin, lait cru et cortisol visage : les plus grandes tendances bien-être de 2024 | Eh bien en fait</t>
  </si>
  <si>
    <t>Mais les experts en sécurité alimentaire sont « absolument horrifiés » par cette tendance, a déclaré au Guardian en janvier le Dr Marion Nestle, professeur émérite de nutrition, d’études alimentaires et de santé publique à l’Université de New York.</t>
  </si>
  <si>
    <t>RFK Jr peut-il rendre l’alimentation américaine à nouveau saine ?</t>
  </si>
  <si>
    <t>“Ce qu’il suggère, c’est de s’attaquer à l’industrie alimentaire”, a déclaré Marion Nestle, ancienne professeure de nutrition à l’Université de New York. « Est-ce que Trump le soutiendra sur ce point ? Je le croirai quand je le verrai.</t>
  </si>
  <si>
    <t>La vérité sur le lait cru et pourquoi les experts sont " absolument horrifiés " par cette tendance | Eh bien en fait</t>
  </si>
  <si>
    <t>Les experts en sécurité alimentaire sont « absolument horrifiés » par la tendance croissante au lait cru, déclare le Dr Marion Nestle, professeur émérite Paulette Goddard de nutrition, d’études alimentaires et de santé publique à l’Université de New York.</t>
  </si>
  <si>
    <t>Le principal obstacle de RFK Jr. à la lutte contre les aliments malsains : l’argent</t>
  </si>
  <si>
    <t>Difficile mais pas impossible
Marion Nestlé, professeur émérite de nutrition, d’études alimentaires et de santé publique à l’Université de New York, a déclaré que même avec des fonds limités, il n’est pas impossible de s’attaquer à l’industrie alimentaire, notant que Kennedy n’est pas la seule personnalité</t>
  </si>
  <si>
    <t>Freedom 96.9</t>
  </si>
  <si>
    <t>Yours Bulletin</t>
  </si>
  <si>
    <t>MyNewsChannel</t>
  </si>
  <si>
    <t>Immittelstand</t>
  </si>
  <si>
    <t>WAQY</t>
  </si>
  <si>
    <t>AT Food: Veganism is gaining momentum but more knowledge is needed</t>
  </si>
  <si>
    <t>Algonquin Times</t>
  </si>
  <si>
    <t>Marion Nestle, a New York University professor, explains in the documentary that cattle have this unfortunate rumen system, which causes them to burp methane, a greenhouse gas that is much worse than carbon dioxide.</t>
  </si>
  <si>
    <t>Recherchez ces 9 signaux d’alarme pour identifier les aliments ultra-transformés</t>
  </si>
  <si>
    <t>News24 France</t>
  </si>
  <si>
    <t>Les gros emballages sont conçus pour vous inciter à trop manger, a déclaré Marion Nestlé, professeur émérite de nutrition, d’études alimentaires et de santé publique à l’Université de New York et auteur de “Soda Politics”.</t>
  </si>
  <si>
    <t>Vous mangez peut-être des aliments " prédigérés ". Voici ce que cela signifie</t>
  </si>
  <si>
    <t>– Marion Nestlé, professeur de nutrition, d’études alimentaires et de santé publique
Les estimations disent 73% de l’approvisionnement alimentaire aux États-Unis est constituée d’aliments ultra-transformés. … Mais nous en payons le prix, a déclaré Marion Nestle, professeur émérite Paulette Goddard de nutrition, d’études alimentaires et de santé publique à l’Université de New York, qui a livres écrits sur la politique de l’industrie alimentaire.</t>
  </si>
  <si>
    <t>L’interdiction des publicités pour la malbouffe ne suffira pas à elle seule à résoudre le problème de l’obésité au Canada</t>
  </si>
  <si>
    <t>Il faut en mettre en œuvre plusieurs à la fois », déclare Marion Nestle, auteure et professeure émérite de nutrition, d’études alimentaires et de santé publique à l’Université de New York.</t>
  </si>
  <si>
    <t>KZYX-FM (Philo, CA)</t>
  </si>
  <si>
    <t>News Research</t>
  </si>
  <si>
    <t>Slow Food se met en colère? (Terra Madre 2024-2)</t>
  </si>
  <si>
    <t>Géographies en mouvement</t>
  </si>
  <si>
    <t>Marion Nestle, professeure de nutrition, d’études alimentaires et de santé publique à l’université de New York, place d’emblée la surconsommation de la viande comme facteur numéro en matière de mauvaise santé humaine et environnementale.</t>
  </si>
  <si>
    <t>Weekly Sauce</t>
  </si>
  <si>
    <t>Nutritionist Review of Netflix's You Are What You Eat Docuseries</t>
  </si>
  <si>
    <t>Michael Greger, Marion Nestle, and Nicole Avena: Discussing the health risks associated with excessive animal product consumption.
Nimai Delgado: A lacto/vegetarian professional bodybuilder, offering perspectives on building muscle on a plant-based diet.</t>
  </si>
  <si>
    <t>A diet high in fruits and vegetables may reduce your heart and kidney disease risk, study</t>
  </si>
  <si>
    <t>Marion Nestle, the Paulette Goddard Professor Emerita of Nutrition, Food Studies and Public Health at New York University. She was not involved in the research.
 “We’ve known this for a long time but it’s good to have less kidney disease added to the benefits,” she said.</t>
  </si>
  <si>
    <t>A Balanced Spoonful of Science and Skepticism</t>
  </si>
  <si>
    <t>Critics, including prominent food policy expert Marion Nestle, caution against the oversimplification of such claims. They argue that the multifaceted nature of diabetes, intertwined with genetic, lifestyle, and environmental factors, cannot be addressed through yogurt consumption alone.</t>
  </si>
  <si>
    <t>Processed foods are hiding in plain sight — and that could be a big public health problem - Health Reporter</t>
  </si>
  <si>
    <t>Current U.S. Dietary Guidelines Ignore Climate, and That’s a Problem</t>
  </si>
  <si>
    <t>Marion Nestle is emerita professor of nutrition, food studies and public health at New York University, and she served on the DGAC in the mid-90s.</t>
  </si>
  <si>
    <t>Latest Dietary Guidelines Advisory Committee meeting highlights gaps in research</t>
  </si>
  <si>
    <t>“The issue of underinvestment in nutrition research is an enormous one,” said Marion Nestle, emeritus professor of nutrition, food studies and public health at New York University. </t>
  </si>
  <si>
    <t>Fruits and vegetables may reduce heart, kidney disease risk: study</t>
  </si>
  <si>
    <t>Marion Nestle, the Paulette Goddard Professor Emerita of Nutrition, Food Studies and Public Health at New York University. She was not involved in the research.
 “We’ve known this for a long time but it’s good to have less kidney disease added to the benefits,” she said.</t>
  </si>
  <si>
    <t>Do Diets Really Work? - Chasing Life with Dr. Sanjay Gupta</t>
  </si>
  <si>
    <t>We’re going to find popular books by Michael Pollan and Marion Nestle and Eric Schlosser and Jonathan Safran Foer and have them. It’s going to be a discussion based class, and we’re just going to find the readings for them and let them discuss them.</t>
  </si>
  <si>
    <t>New York University nutrition expert Marion Nestle, who served on the 1995 advisory panel, told The New York Times, “In my view, the advice is the same: Eat your vegetables, don’t gain too much weight, and avoid junk foods with a lot of salt, sugar, and saturated fat.”
Story editing by Carren Jao.</t>
  </si>
  <si>
    <t>Fruits and vegetables may reduce kidney and heart disease risk</t>
  </si>
  <si>
    <t>Yogurts can now make limited claim that they lower type 2 diabetes risk, FDA says</t>
  </si>
  <si>
    <t>KHSU-FM (Arcata, CA)</t>
  </si>
  <si>
    <t>Marion Nestle, a food policy expert, said qualified health claims based on limited evidence are “ridiculous on their face.”
“Translation: If you want to believe this, go ahead, but it's not on the basis of evidence,” she said.</t>
  </si>
  <si>
    <t>Kosciusko Star-Herald</t>
  </si>
  <si>
    <t>WPRL-FM</t>
  </si>
  <si>
    <t>Burlington Record</t>
  </si>
  <si>
    <t>Mittelstandspresse - Initiative Mittelstand</t>
  </si>
  <si>
    <t>Initiative Mittelstand</t>
  </si>
  <si>
    <t>Kmit 105.9 Fm</t>
  </si>
  <si>
    <t>KDNK-FM (Carbondale, CO)</t>
  </si>
  <si>
    <t>FDA says yogurt may make limited claims about reducing risk of type 2 diabetes CNN</t>
  </si>
  <si>
    <t>Crast.net</t>
  </si>
  <si>
    <t>Marion Nestle echoed Passarello's sentiments, adding that “the qualified health claims are ridiculous on their face.”
 “Why would any sane person think that you only have to eat 2 cups of yogurt a week to prevent type 2 diabetes?”</t>
  </si>
  <si>
    <t>FDA Greenlights Yogurt's Potential to Cut Type 2 Diabetes Risk: A Balanced Spoonful of Science and Skepticism</t>
  </si>
  <si>
    <t>Medriva</t>
  </si>
  <si>
    <t>FDA Greenlights Limited Health Claim Linking Yogurt Consumption to Reduced Diabetes Risk</t>
  </si>
  <si>
    <t>Marion Nestle, a food policy expert, has publicly criticized the allowance of qualified health claims based on limited evidence as "ridiculous," suggesting such claims provide little more than a placebo effect to consumers hoping to make healthier dietary choices.</t>
  </si>
  <si>
    <t>FDA's Nod to Yogurt: A Spoonful of Caution in the Battle Against Diabetes</t>
  </si>
  <si>
    <t>The Sweet Side of Caution: Sugar's Role in the Equation
While yogurt's potential benefits are now spotlighted, experts and advocacy groups such as the Center for Science in the Public Interest and food policy expert Marion Nestle are raising alarms about the potential for these health claims to mislead</t>
  </si>
  <si>
    <t>FDA Greenlights Limited Health Claims for Yogurt in Type 2 Diabetes Prevention</t>
  </si>
  <si>
    <t>Critics, including food policy expert Marion Nestle, argue that the evidence base, lacking in randomized controlled trials, is too flimsy to support such claims, potentially misleading consumers.</t>
  </si>
  <si>
    <t>Spoonful of Promise: FDA Greenlights Limited Health Claims for Yogurt in Diabetes Prevention</t>
  </si>
  <si>
    <t>Critics, including food policy expert Marion Nestle, have raised concerns about the reliance on qualified health claims, pointing out that these are not based on the gold standard of scientific evidence, such as randomized controlled trials.</t>
  </si>
  <si>
    <t>KTEP-FM</t>
  </si>
  <si>
    <t>Es posible que estés comiendo alimentos predigeridos sin saberlo.</t>
  </si>
  <si>
    <t>Al Contacto</t>
  </si>
  <si>
    <t>Why our brains can't comprehend how good things are now in design/urgent museum-level auction</t>
  </si>
  <si>
    <t>Snake Newsletter</t>
  </si>
  <si>
    <t>Marion Nestle (communist food professor) said in an interview I did with her but which I didn’t publish: 
“One of my former doctoral student did an experiment in one of her Nutrition One classes where she asked the class to tell her how many calories they were in an 8 oz soda, and how many calories</t>
  </si>
  <si>
    <t>MountainViewToday.ca</t>
  </si>
  <si>
    <t>WHMP-FM</t>
  </si>
  <si>
    <t>Grenada Star</t>
  </si>
  <si>
    <t>Etiquetas más estrictas en EEUU: la FDA impulsa cambios para definir alimentos saludables</t>
  </si>
  <si>
    <t>Radio Clan FM</t>
  </si>
  <si>
    <t>Marion Nestle, experta en nutrición de la Universidad de Nueva York, cree que esta regulación puede incentivar a los fabricantes a reducir el contenido de sodio, azúcares y grasas saturadas en sus productos.</t>
  </si>
  <si>
    <t>Wealth Creation Investing</t>
  </si>
  <si>
    <t>Mahalsa UK</t>
  </si>
  <si>
    <t>Expert reveals sinister reason Froot Loops won't remove cancer-linked dyes from their products</t>
  </si>
  <si>
    <t>The best breakfast cereals for your health – and the ones to avoid | Mahalsa UK</t>
  </si>
  <si>
    <t>But as Marion Nestle, a professor of nutrition at New York University, points out in her book, Food Politics, “the increasingly common addition of vitamins and minerals” is unlikely to improve our health and “raises concerns about the possible hazards of too much of a good thing”. </t>
  </si>
  <si>
    <t>KDLL -FM (Kenai, AK)</t>
  </si>
  <si>
    <t>KRVS-FM</t>
  </si>
  <si>
    <t>KEDM-FM (Monroe, LA)</t>
  </si>
  <si>
    <t>Los yogures ahora pueden afirmar de forma limitada que reducen el riesgo de diabetes tipo 2</t>
  </si>
  <si>
    <t>Una dieta saludable para el planeta reduce el riesgo de muerte prematura, según muestra un nuevo estudio – Cbainfo - Hecho en California con Marcos Gutierrez</t>
  </si>
  <si>
    <t>Marion Nestle, profesora emérita de nutrición, estudios alimentarios y salud pública en la Universidad de Nueva York, dijo que el gobierno federal debería adoptar políticas alimentarias para promover dietas que no sólo sean nutritivas sino también sostenibles.</t>
  </si>
  <si>
    <t>KWBU-FM</t>
  </si>
  <si>
    <t>Shenandoah Valley News</t>
  </si>
  <si>
    <t>Miles City Star</t>
  </si>
  <si>
    <t>Marion Nestle, a food policy expert, said qualified health claims based on limited evidence are “ridiculous on their face.”
The Associated Press Health and Science Department receives support from the Howard Hughes Medical Institute’s Science and Educational Media Group.</t>
  </si>
  <si>
    <t>deutscherpresseindex.de</t>
  </si>
  <si>
    <t>KCCU-FM (Lawton, OK)</t>
  </si>
  <si>
    <t>Lexington Clipper-Herald</t>
  </si>
  <si>
    <t>Julesburg Advocate</t>
  </si>
  <si>
    <t>Lunchables Have High Levels Of Lead And Sodium, Consumer Reports Finds</t>
  </si>
  <si>
    <t>World of Software</t>
  </si>
  <si>
    <t>KUAC-FM (Fairbanks, AK)</t>
  </si>
  <si>
    <t>WHK-AM (Cleveland, OH)</t>
  </si>
  <si>
    <t>WPOR-FM (Portland, ME)</t>
  </si>
  <si>
    <t>š§ A Call to Farms with Jennifer Grayson</t>
  </si>
  <si>
    <t>Nature's Pharmacy</t>
  </si>
  <si>
    <t>Her mix of incisive investigative reporting and captivating personal writing has been praised by luminaries including environmentalist Paul Hawken, food activist Marion Nestle, Pulitzer Prizeāwinning journalist Michael Moss, and scientist David R. Montgomery.</t>
  </si>
  <si>
    <t>KRCU-FM (Cape Girardeau, MO)</t>
  </si>
  <si>
    <t>FDA Says Yogurt Makers Can Make 'Qualified' Claims About T2D Prevention</t>
  </si>
  <si>
    <t>Diabetes In Control</t>
  </si>
  <si>
    <t>Food policy expert Marion Nestle told the Associated Press that qualified health claims are “ridiculous on their face.”
More Information</t>
  </si>
  <si>
    <t>From added sugar to sodium, here's how US dietary recommendations have changed over the last 50 years - Shelbyville Times-Gazette</t>
  </si>
  <si>
    <t>Shelbyville Times-Gazette</t>
  </si>
  <si>
    <t>WMGX</t>
  </si>
  <si>
    <t>The Newton County Appeal</t>
  </si>
  <si>
    <t>Bagaimana McDonald's dan Burger King dapat Untung yang Harganya Ditawarkan Jauh Lebih Murah</t>
  </si>
  <si>
    <t>riaupagi.com</t>
  </si>
  <si>
    <t>"Gerai makanan cepat saji terkesan tua bagi kaum Milenial, apalagi jika dibandingkan gerai-gerai makanan yang menjual salad," kata Marion Nestle, profesor nutrisi dai Universitas New York.</t>
  </si>
  <si>
    <t>South Platte Sentinel</t>
  </si>
  <si>
    <t>KASU-FM (Jonesboro, AR)</t>
  </si>
  <si>
    <t>KBBI-AM (Homer, AK)</t>
  </si>
  <si>
    <t>KWIT/KOJI-FM (Sioux City, IA)</t>
  </si>
  <si>
    <t>Paper Throws Cold Water on Food Is Medicine</t>
  </si>
  <si>
    <t>Food Bank News</t>
  </si>
  <si>
    <t>Food policy analyst Marion Nestle agreed in a recent post that the food industry is a main beneficiary of Food is Medicine. “Count me as an FIM skeptic,” she wrote. “It is not likely to scale up enough to address chronic disease in any significant way.” – Chris Costanzo
Like what you’re reading?</t>
  </si>
  <si>
    <t>The Mendocino Beacon</t>
  </si>
  <si>
    <t>Make America Hypocritcal...Again?</t>
  </si>
  <si>
    <t>EarthRise Wellness</t>
  </si>
  <si>
    <t>“It will get worse,” Marion Nestle said, if Trump gets into office. “We already know that, because we just had four years of that.”
It’s a solid overview of Trump’s first-era policies, though I pause when seeing the Environmental Working Group quoted.</t>
  </si>
  <si>
    <t>KVNF-FM (Paonia, CO)</t>
  </si>
  <si>
    <t>FDA odobrila naljepnice da jogurt može smanjiti rizik od dijabetesa tip 2, naučnici smatraju odluku diskutabilnom</t>
  </si>
  <si>
    <t>abrasmedia.info</t>
  </si>
  <si>
    <t>Marion Nestle, profesorica nutricionizma, zdrave hrane i javnog zdravstva Sveučilišta New Yor kritizirala je odluku upitavši: “Zašto bi bilo koja razumna osoba mislila da je sve što trebate učiniti kako biste spriječili dijabetes tipa 2 konzumirati 2 šalice jogurta tjedno?”.</t>
  </si>
  <si>
    <t>Champagne Biopic “Widow Clicquot” opens Sonoma International Film Festival’s Tasty Program</t>
  </si>
  <si>
    <t>EatDrinkFilms</t>
  </si>
  <si>
    <t>FOOD, INC. 2
Michael Pollan (The Omnivore’s Dilemma), Marion Nestle (Food Politics), and filmmakers Robert Kenner and Melissa Robledo sit down for a special conversation with Danielle Nierenberg (Food Tank) following a screening.</t>
  </si>
  <si>
    <t>RFK Jr.’s Food Fight: Can He Change America’s Diet?</t>
  </si>
  <si>
    <t>Australian National Review</t>
  </si>
  <si>
    <t>“Even though it meant to encourage consumption of whole grains and small portion sizes, the pyramid’s putting grains as the foundation of a healthy diet inadvertently induced the food industry to vigorously market highly processed grain products,” Marion Nestle, a food policy expert and former DGAC member</t>
  </si>
  <si>
    <t>Relaciones peligrosas. Los vínculos poco transparentes entre la industria y las universidades</t>
  </si>
  <si>
    <t>Sin Fuero Mx</t>
  </si>
  <si>
    <t>Especialistas en investigación científica aseguran que el financiamiento privado no siempre es declarado por las universidades o por los investigadores; para Marion Nestlé, maestra en Nutrición y Salud Pública por la Universidad de California, esa es una práctica que esconde un posible conflicto de interés</t>
  </si>
  <si>
    <t>The Hunger for Clarity Regarding Nutrition</t>
  </si>
  <si>
    <t>Marion Nestle, a professor emerita of nutrition, food studies, and public health at New York University and a prize-winning author, told The Epoch Times that nutrition is confusing because people eat extremely complicated diets.</t>
  </si>
  <si>
    <t>Raíchali Noticias</t>
  </si>
  <si>
    <t>Los yogures ahora pueden afirmar de forma limitada que reducen el riesgo de diabetes tipo 2, dice la FDA</t>
  </si>
  <si>
    <t>NoticiasYa</t>
  </si>
  <si>
    <t>15 Minute News</t>
  </si>
  <si>
    <t>Daily Mail
 - 
17 Feb 2024 01:09
Dr Marion Nestle, a professor emeritus at New York University, says there is so little beneficial nutrients in the bars that someone would have to eat 'immoderate' amounts in order to get enough.</t>
  </si>
  <si>
    <t>Trump 2.0: Implications for Holistic Medicine</t>
  </si>
  <si>
    <t>Holistic Primary Care</t>
  </si>
  <si>
    <t>As
nutritionist Marion Nestle (pronounced “Nessl” and no relation to the Swiss conglomerate)
pointed out in a
recent CNN interview, removal of food dyes
and additives from cereals and other packaged foods would pose a massive
problem for food companies.</t>
  </si>
  <si>
    <t>Too much of a food thing: A century of change in how we eat</t>
  </si>
  <si>
    <t>Marion Nestle, professor emerita of nutrition, food studies and public health at New York University.
A detailed accounting of everything that reshaped Americans' health and diet over the past century could fill a library.</t>
  </si>
  <si>
    <t>Top Nutritionist Marion Nestle to Speak During Consumer Media Luncheon at New York Produce Show and Conference</t>
  </si>
  <si>
    <t>NewsLocker</t>
  </si>
  <si>
    <t>Lamar Ledger</t>
  </si>
  <si>
    <t>KICD-FM (Spencer, IA)</t>
  </si>
  <si>
    <t>WEAA-FM (Baltimore, MD)</t>
  </si>
  <si>
    <t>O Ribatejo</t>
  </si>
  <si>
    <t>WUOT News</t>
  </si>
  <si>
    <t>KANW-FM</t>
  </si>
  <si>
    <t>¿El yogur como aliado contra la diabetes tipo 2? Qué dicen los expertos</t>
  </si>
  <si>
    <t>elveedordigital.com</t>
  </si>
  <si>
    <t>La experta en políticas alimentarias Marion Nestle dijo a The Associated Press que las afirmaciones de propiedades saludables calificadas son “ridículas a primera vista”. ”Traducción: si quieres creer esto, adelante, pero no es sobre la base de la evidencia”, agregó.
Fuente: El Caribe.</t>
  </si>
  <si>
    <t>WRSI FM 93.9 The River</t>
  </si>
  <si>
    <t>The Reminder (Flin Flon)</t>
  </si>
  <si>
    <t>Chaco Prensa</t>
  </si>
  <si>
    <t>The Batesville Daily Guard</t>
  </si>
  <si>
    <t>Red River Radio</t>
  </si>
  <si>
    <t>Here are the ultraprocessed foods you most need to avoid, according to a</t>
  </si>
  <si>
    <t>EMEA Tribune</t>
  </si>
  <si>
    <t>It-It-Prof.de</t>
  </si>
  <si>
    <t>WRKF-FM (Baton Rouge, LA)</t>
  </si>
  <si>
    <t>WZID-FM (Manchester, NH)</t>
  </si>
  <si>
    <t>The Snack Industry Won the Super Bowl</t>
  </si>
  <si>
    <t>Conscien Health</t>
  </si>
  <si>
    <t>Profound Understatement
It is not often that Professor Marion Nestle understates the overwhelming influence of the food industry. But reflecting on the Super Bowl of snacking, she succeeds. She describes this as “an occasion for junk food and alcohol.” A gentle statement of truth.</t>
  </si>
  <si>
    <t>Las azucareras pagaron para culpar a la grasa de los trastornos de corazón</t>
  </si>
  <si>
    <t>Mundo oculto</t>
  </si>
  <si>
    <t>En un comentario relacionado, publicado en la misma revista, Marion Nestle, doctora en medicina de la Universidad de Nueva York (EE UU), expone el gran daño que puede suponer este tipo de hallazgos para la credibilidad de la comunidad científica.</t>
  </si>
  <si>
    <t>Clarksdale Press Register</t>
  </si>
  <si>
    <t>Nutritionists weigh in on US dietary guidelines</t>
  </si>
  <si>
    <t>The Franklin News-Post</t>
  </si>
  <si>
    <t>Food Babe Takes on Froot Loops</t>
  </si>
  <si>
    <t>corporatecrimereporter.com</t>
  </si>
  <si>
    <t>Or as Marion Nestle, a professor of Food and Nutrition at New York University put it –  “I’d rather see mainstream nutritionists screaming bloody murder that we’ve created a food supply that’s making people sick.” “Seventy-four percent of Americans are overweight,” Nestle told Civil Eats. </t>
  </si>
  <si>
    <t>The Northside Sun</t>
  </si>
  <si>
    <t>Willits News</t>
  </si>
  <si>
    <t>The cost of fast food</t>
  </si>
  <si>
    <t>Sovren</t>
  </si>
  <si>
    <t>The cost of fast food
 15 views
 57 mins ago
 In this episode of The Cost of Everything, host Christy Ai teams up with author Marion Nestle to uncover the hidden costs lurking on our plates, particularly in the realm of fast food – an area</t>
  </si>
  <si>
    <t>Edward Norton To Narrate Wellness Doc ‘Fasting And The Longevity Revolution’ Directed By ‘BlacKkKlansman’ Editor Barry Alexander Brown</t>
  </si>
  <si>
    <t>PopStar.One</t>
  </si>
  <si>
    <t>Leading nutrition experts including Valter Longo, Eric Ravussin, Marion Nestle, John Kopchick, Satchin Panda, Hanno Pijl, and Bernard Escudier will feature in the doc. </t>
  </si>
  <si>
    <t>KSJD-FM (Cortez, CO)</t>
  </si>
  <si>
    <t>AP News in Brief at 12:04 a.m. EST</t>
  </si>
  <si>
    <t>The Call &amp; Times</t>
  </si>
  <si>
    <t>AP News in Brief at 9:04 p.m. EST</t>
  </si>
  <si>
    <t>Diario Tecnologia ES</t>
  </si>
  <si>
    <t>KASA-TV (Albuquerque, NM)</t>
  </si>
  <si>
    <t>Marion Nestlé, experta en políticas alimentarias, dijo que las afirmaciones calificadas sobre propiedades saludables basadas en evidencia limitada son "ridículas a primera vista".</t>
  </si>
  <si>
    <t>Netflix has put together a list of 17 of its food-related films</t>
  </si>
  <si>
    <t>List23</t>
  </si>
  <si>
    <t>It features remarks from prominent figures such as Ben Chapman and Marion Nestle, and emphasizes the importance of taking action to safeguard public health.
The movie Eat Pray Love is from 2010.</t>
  </si>
  <si>
    <t>National - Junk food ad bans alone won’t fix Canada’s obesity problem</t>
  </si>
  <si>
    <t>CBA National</t>
  </si>
  <si>
    <t>You need a lot of them all at once,” says Marion Nestle, author and professor of nutrition, food studies, and public health, emerita, at New York University.
“The research on specific interventions, no matter what they are, pretty much shows the same thing. </t>
  </si>
  <si>
    <t>Breeze-Courier</t>
  </si>
  <si>
    <t>Alimento que podría reducir el riesgo de diabetes tipo 2, según la FDA</t>
  </si>
  <si>
    <t>Alfa Editores Técnicos</t>
  </si>
  <si>
    <t>Marion Nestle, nutricionista y bióloga molecular, comentó que “lo ideal sería que el yogur fuera al menos sin azúcar, pero como es complicado encontrar yogur sin azúcar, esto puede llevar a las personas que desean evitar la diabetes tipo 2 a pensar que los yogures endulzados son beneficiosos”.</t>
  </si>
  <si>
    <t>Una dieta rica en frutas y verduras ayuda a prevenir enfermedades cardíacas y renales</t>
  </si>
  <si>
    <t>Marion Nestle, profesora emérita de nutrición en la Universidad de Nueva York, explicó: “Sabemos desde hace mucho tiempo que una dieta baja en ácido es buena para la salud renal y ahora también sabemos que es beneficiosa para el corazón”.</t>
  </si>
  <si>
    <t>KIOS-FM (Omaha, NE)</t>
  </si>
  <si>
    <t>KOHA-TV (Omaha, NE)</t>
  </si>
  <si>
    <t>WBAA-FM (West Lafayette, IN)</t>
  </si>
  <si>
    <t>Resolviendo una de las grandes preguntas sobre las mascotas: si son buenas para nuestra salud o no « SerNoticias.com.mx</t>
  </si>
  <si>
    <t>SER Noticias</t>
  </si>
  <si>
    <t>«Las empresas no desean llamar la atención sobre el lado más oscuro de la relación entre humanos y mascotas» – Marion Nestle, Universidad de Nueva York
Steve Feldman, presidente del instituto de Investigación de Vínculos Humanos y Animales, financiado por la industria del cuidado de mascotas, afirmó</t>
  </si>
  <si>
    <t>RFK Jr. faces battles in quest to change America’s food</t>
  </si>
  <si>
    <t>City Desk ABQ</t>
  </si>
  <si>
    <t>Marion Nestle, a retired professor of nutrition, food studies and public health at New York University, said she supports Kennedy’s proposal to getultra-processed foods out of schools.</t>
  </si>
  <si>
    <t>Oakdale Leader</t>
  </si>
  <si>
    <t>WUTC-FM (Chattanooga,TN)</t>
  </si>
  <si>
    <t>WLVQ-FM (Columbus, OH)</t>
  </si>
  <si>
    <t>WNYM-AM (Hackensack, NJ)</t>
  </si>
  <si>
    <t>KDLG (Dillingham, AK)</t>
  </si>
  <si>
    <t>WQLN (Erie, PA)</t>
  </si>
  <si>
    <t>KSFC-FM (Spokane, WA)</t>
  </si>
  <si>
    <t>Bernie Sanders &amp; Big Food</t>
  </si>
  <si>
    <t>Supermarket Guru</t>
  </si>
  <si>
    <t>I highly suggest that everybody looks at what Sanders is doing, and what happened is some of his remarks Marion Nestle produced in Food Politics, her newsletter, and I just want to read a few of them. And these are the words of Bernie Sanders.</t>
  </si>
  <si>
    <t>The Age of Ozempic</t>
  </si>
  <si>
    <t>Our friend Marion Nestle told Severson that these drugs are “an existential threat to the food industry and certainly an existential threat to the processed food industry”.  Other experts aren’t as convinced as Nestle that these drugs are game changing.</t>
  </si>
  <si>
    <t>Muscatine Journal</t>
  </si>
  <si>
    <t>WNCW-FM (Spindale, NC)</t>
  </si>
  <si>
    <t>Paradise Post</t>
  </si>
  <si>
    <t>This City Is Turning A Soda Tax Into Healthy Coupons</t>
  </si>
  <si>
    <t>Coupons in the News</t>
  </si>
  <si>
    <t>To New York University nutrition and food studies professor Marion Nestle, though, it’s worth it. “What this study shows is that these taxes are having the effect that they were intended to have,” she said.</t>
  </si>
  <si>
    <t>WTJX Virgin Islands Public Broadcasting System</t>
  </si>
  <si>
    <t>Beans Rise to Stardom in New Dietary Advisory</t>
  </si>
  <si>
    <t>Community Voice</t>
  </si>
  <si>
    <t>RFK Jr.’sTo-Do List to Make America ‘Healthy’ Has Health Experts Worried</t>
  </si>
  <si>
    <t>and address diet-related chronic diseases, stopping corporate power, eliminating conflicts of interest between industry and government, getting toxic chemicals out of the food supply, and doing everything possible to refocus the food environment and dietary advice on health,” food policy researcher Marion … Nestle wrote on her Food Politics blog.</t>
  </si>
  <si>
    <t>WAFX-FM (Chesapeake, VA)</t>
  </si>
  <si>
    <t>News Finale</t>
  </si>
  <si>
    <t>Marion Nestle, a food policy expert, said qualified health claims based on limited evidence are “ridiculous on their face.”
“Translation: If you want to believe this, go ahead, but it’s not on the basis of evidence,” she said.
Share and Follow
FacebookXRedditPinterestWhatsApp</t>
  </si>
  <si>
    <t>Los yogures pueden afirmar de forma limitada que el alimento reduce el riesgo de diabetes tipo 2, dice la FDA.</t>
  </si>
  <si>
    <t>News.Eseuro.com</t>
  </si>
  <si>
    <t>El yogur puede afirmar de forma limitada que reduce el riesgo de diabetes tipo 2, dice la FDA.</t>
  </si>
  <si>
    <t>Ultra-processed foods: what are they? Why are they bad?</t>
  </si>
  <si>
    <t>Ex Bulletin</t>
  </si>
  <si>
    <t>Marion Nestle told CNN medical correspondent Meg. . Tyrrell recently appeared on the podcast Chasing Life. Nestlé is Paulette Goddard Professor Emeritus of Nutrition, Food Research, and Public Health at New York University.</t>
  </si>
  <si>
    <t>How much should you worry about ultra-processed foods?</t>
  </si>
  <si>
    <t>He talks to Professor Marion Nestle (https://steinhardt.nyu.edu/people/marion-nestle) A leading authority on nutrition and food policy and NIH Principal Investigator Kevin Hall (https://www.niddk.nih.gov/about-niddk/staff-directory/biography/hall-kevin) , who conducted the first and only controlled clinical</t>
  </si>
  <si>
    <t>According to 30 years of research, the ultra-processed foods you should most avoid are:</t>
  </si>
  <si>
    <t>Marion Nestle, Paulette Goddard Professor Emeritus of Nutrition, Food Research, and Education. New York University School of Public Health.
Because ultra-processed foods are a diverse category, Song said he would not necessarily advise completely rejecting all ultra-processed foods.</t>
  </si>
  <si>
    <t>From added sugar to sodium, here's how US dietary recommendations have changed over the last 50 years - Benton County Enterprise</t>
  </si>
  <si>
    <t>Benton County Enterprise</t>
  </si>
  <si>
    <t>Is This Coffee Pouch Being Sold In NYC More Like ‘Capri Sun’ Or A ‘Colostomy Bag’?</t>
  </si>
  <si>
    <t>Coffee Talk</t>
  </si>
  <si>
    <t>Marion Nestle, an NYU professor of health and nutrition, speculated that the appeal was part of a general trend toward infantilization. Adam Alter, a marketing professor at NYU, compared the pouches with Apple’s famous switch to white headphones in 2001.
Read More @ Gothamist</t>
  </si>
  <si>
    <t>What to know about the ‘movement’ gaslighting health and wellness followers in the US</t>
  </si>
  <si>
    <t>Granite Post</t>
  </si>
  <si>
    <t>“I have no reason to think that any of that will happen because it didn’t happen when he was president,” Marion Nestle, retired professor of nutrition, food studies and public health at New York University, told the Washington Post. “He made things worse.”</t>
  </si>
  <si>
    <t>WGVU-FM (Grand Rapids, MI)</t>
  </si>
  <si>
    <t>KVCR-FM (San Bernardino, CA)</t>
  </si>
  <si>
    <t>The IOC’s response to the editorial came as no surprise to Marion Nestle, a professor emerita of nutrition, food studies and public health at New York University.
“Too much money is at stake for the IOC to refuse it,” she said in an email.</t>
  </si>
  <si>
    <t>WVIK-FM (Rock Island, IL)</t>
  </si>
  <si>
    <t>KOEZ-FM (Ames, IA)</t>
  </si>
  <si>
    <t>Den hvite drikken som sier hvem du er</t>
  </si>
  <si>
    <t>aftenposteninnsikt.no</t>
  </si>
  <si>
    <t>«Folk som drikker mandel- eller soyamelk vet veldig godt hva de gjør», svarte Marion Nestle, en fremtredende mataktivist og professor ved New York University.</t>
  </si>
  <si>
    <t>WRFC-AM (Athens, GA)</t>
  </si>
  <si>
    <t>Investigación: Consumo de frutas y verduras ayuda en el tratamiento de enfermedades cardiacas y renales</t>
  </si>
  <si>
    <t>simfruit.cl</t>
  </si>
  <si>
    <t>Marion Nestle, profesora emérita Paulette Goddard de Nutrición, Estudios Alimentarios y Salud Pública en la Universidad de Nueva York. Ella no participó en la investigación.
¿Por qué se debe evitar el ácido?
¿Por qué se debe evitar el ácido?</t>
  </si>
  <si>
    <t>Son hasta el 70% de la dieta estadounidense, pero EE.UU. no tiene una política sobre alimentos ultraprocesados</t>
  </si>
  <si>
    <t>D1SoftBall News</t>
  </si>
  <si>
    <t>Consumer Media and Influencers Explore Health, Produce Consumption at New York Produce Show</t>
  </si>
  <si>
    <t>Produce Business</t>
  </si>
  <si>
    <t>KAJX-FM (Aspen, CO)</t>
  </si>
  <si>
    <t>WKNO-FM (Cordova, TN)</t>
  </si>
  <si>
    <t>Study: The ultra-processed foods most likely to shorten your life</t>
  </si>
  <si>
    <t>News Explorer</t>
  </si>
  <si>
    <t>"Literally hundreds of studies link ultra-processed foods to obesity, cancer, cardiovascular disease and overall mortality," Marion Nestle, author of books on food politics and marketing, as well as a professor emerita of nutrition and food studies at New York University, told CNN.
News Related</t>
  </si>
  <si>
    <t>Nestlé partnership with University of Pretoria raises critical corporate capture questions (Part 2)</t>
  </si>
  <si>
    <t>Marion Nestle, the Paulette Goddard professor emerita of nutrition, food studies and public health at New York University.
Song wouldn't necessarily advise a complete rejection of all ultraprocessed foods because it is a diverse category, he said.</t>
  </si>
  <si>
    <t>Is It Safe to Eat Eggs, Chicken or Dairy During the Bird Flu Outbreak?</t>
  </si>
  <si>
    <t>"We need to know a lot more about how bird flu is transmitted to humans-so far, not easily," molecular biologist and public health advocate Marion Nestle tells EatingWell. "But preventive measures are always the same: wash your hands, well and often!"</t>
  </si>
  <si>
    <t>Estes são os alimentos ultraprocessados que deve evitar, de acordo com um estudo realizado ao longo de 30 anos</t>
  </si>
  <si>
    <t>As conclusões deste estudo foram consistentes com centenas de outros no terreno, mas o que torna este estudo único é a análise de diferentes subgrupos dentro da categoria de alimentos ultraprocessados, diz Marion Nestle, professora emérita Paulette Goddard de nutrição, estudos alimentares e saúde pública</t>
  </si>
  <si>
    <t>Can yogurt really reduce the risk of Type 2 diabetes? Producers say so</t>
  </si>
  <si>
    <t>The best breakfast cereals for your health – and the ones to avoid - VNExplorer</t>
  </si>
  <si>
    <t>Estudio revela cuales son los alimentos ultraprocesados que las personas deben evitar</t>
  </si>
  <si>
    <t>皮质醇脸部、原奶和儿童护肤品：2024 年最大的健康趋势 |好吧，实际上</t>
  </si>
  <si>
    <t>Mandarinian</t>
  </si>
  <si>
    <t>但纽约大学营养、食品研究和公共卫生荣誉教授 Marion Nestle 博士表示，食品安全专家对这一趋势“绝对感到震惊” 卫报 一月。 “从生牛奶中生病的可能性比从巴氏杀菌牛奶中生病的可能性要高，”她说。
家用微生物组检测套件
也许你的 Instagram feed 和我的一样，最近已经充斥着以下内容的广告： 。许多销售这些套件的公司（售价从 120 美元到 400 美元不等）声称，通过分析顾客的粪便样本，他们可以提供个性化的饮食建议，帮助人们应对焦虑、关节疼痛和精力不足等状况。
专家们一致认为，肠道微生物群是 对人类健康很重要。</t>
  </si>
  <si>
    <t>令人生疑的新保健趋势：猴头菇 - Mandarinian</t>
  </si>
  <si>
    <t>纽约大学的马里恩·内斯特尔 (Marion Nestle) 教授于 1988 年创立了美国第一个学术食品研究项目，她表示，有关猴头菇补充剂的一些科学依据尚未“确定”。
尽管她承认这些产品对人体无害，但她表示，一些公司的宣传——有助于预防老年痴呆症、抵御帕金森症、延缓结肠癌——令人“翻白眼”。
营销经理引用的许多研究都发表在作者付费发表或由利益相关方资助的期刊上。“我想说，从科学角度来看，它们并没有什么特别之处。”
然而，市场的热情淹没了雀巢的怀疑。</t>
  </si>
  <si>
    <t>Tri States Public Radio</t>
  </si>
  <si>
    <t>ALIMENTOS ULTRAPROCESADOS REPRESENTAN EL 58% DE CALORÍAS DIARIAS EN EU Y PODRÍAN AUMENTAR PESO Y ENFERMEDADES</t>
  </si>
  <si>
    <t>Macronews Noticias</t>
  </si>
  <si>
    <t>“Se trataba del ‘estudio más importante sobre nutrición en años’”, dijo Marion Nestle, catedrática emérita de Nutrición, Alimentación y Salud Pública de la Universidad de Nueva York.</t>
  </si>
  <si>
    <t>Imparare dalla Natura per guardare con fiducia al futuro</t>
  </si>
  <si>
    <t>IMG Press</t>
  </si>
  <si>
    <t>In collegamento dagli Usa, la biologa ed esperta di politiche alimentari Marion Nestle, autrice di best seller come Food Politics: How the Food Industry Influences Nutrition and Health e Unsavory Truth: How Food Companies Skew the Science of What We Eat.</t>
  </si>
  <si>
    <t>Progressive groups share many of RFK Jr.'s goals. They're against him anyway.</t>
  </si>
  <si>
    <t>The Bharat Express News</t>
  </si>
  <si>
    <t>asked Marion Nestle, a New York University professor and longtime critic of the country’s food system who nevertheless hopes Kennedy can make some progress.
Colorado Governor Jared Polis is a rare exception in his enthusiasm for Kennedy.</t>
  </si>
  <si>
    <t>RFK Jr. faces battles in his quest to change American food</t>
  </si>
  <si>
    <t>Marion Nestle, a retired professor of nutrition, food studies and public health at New York University, said she supports Kennedy’s proposal to get ultra-processed foods out of schools.</t>
  </si>
  <si>
    <t>WMKY-FM (Morehead,KY)</t>
  </si>
  <si>
    <t>KPCC-FM (Pasadena, CA)</t>
  </si>
  <si>
    <t>These are the ultra-processed foods you should avoid the most, according to a 30-year study</t>
  </si>
  <si>
    <t>The Canadian News</t>
  </si>
  <si>
    <t>Marion Nestle, professor emeritus of nutrition, food studies and food science by Paulette Goddard. public health at New York University.
Do we need to get rid of all ultra-processed foods?</t>
  </si>
  <si>
    <t>WKLH-FM (Milwaukee, WI)</t>
  </si>
  <si>
    <t>MyMcMurray</t>
  </si>
  <si>
    <t>Classiclectic Podcast</t>
  </si>
  <si>
    <t>KSFR-FM (Santa Fe, NM)</t>
  </si>
  <si>
    <t>SDPB News</t>
  </si>
  <si>
    <t>Real Health Magazine</t>
  </si>
  <si>
    <t>Corbin Times-Tribune</t>
  </si>
  <si>
    <t>Regional Media News</t>
  </si>
  <si>
    <t>WDIY-FM</t>
  </si>
  <si>
    <t>Oroville Mercury-Register</t>
  </si>
  <si>
    <t>WOGK-FM (Ocala, FL)</t>
  </si>
  <si>
    <t>Fort Bragg Advocate-News</t>
  </si>
  <si>
    <t>The Elk Valley Times</t>
  </si>
  <si>
    <t>WUGA-FM (Athens, GA)</t>
  </si>
  <si>
    <t>WGAN Radio</t>
  </si>
  <si>
    <t>La Nación Ecuador</t>
  </si>
  <si>
    <t>La experta en políticas alimentarias Marion Nestle dijo a The Associated Press que las afirmaciones de propiedades saludables calificadas son “ridículas a primera vista”. ”Traducción: si quieres creer esto, adelante, pero no es sobre la base de la evidencia”, agregó.</t>
  </si>
  <si>
    <t>High Plains Public Radio</t>
  </si>
  <si>
    <t>WDBO-FM (Orlando, FL)</t>
  </si>
  <si>
    <t>Bring back the slow-news days ...</t>
  </si>
  <si>
    <t>Not PC</t>
  </si>
  <si>
    <t>Nominative determinism went wrong here then
 -
“Infant formula companies want to sell more infant formula,” said Marion Nestle, professor emerita of nutrition, food studies and public health at 
New Yo...</t>
  </si>
  <si>
    <t>"Much of the mess we are in can be blamed, in my view, on lawyers ... "</t>
  </si>
  <si>
    <t>¿Qué pasa con la industria del antojo en la era de Ozempic?</t>
  </si>
  <si>
    <t>Food News Latam</t>
  </si>
  <si>
    <t>“Es una amenaza existencial a la industria alimentaria y, desde luego, una amenaza existencial a la industria de los alimentos procesados”, explicó Marion Nestle, profesora emérita de Nutrición, Estudios Alimentarios y Salud pública de la Universidad de Nueva York, que ha escrito mucho sobre política</t>
  </si>
  <si>
    <t>The Escalon Times</t>
  </si>
  <si>
    <t>WCMU-FM (Mount Pleasant, MI)</t>
  </si>
  <si>
    <t>WPSU-FM (State College, PA)</t>
  </si>
  <si>
    <t>Thompson Citizen</t>
  </si>
  <si>
    <t>WHQG-FM (Milwaukee, WI)</t>
  </si>
  <si>
    <t>KETR-FM</t>
  </si>
  <si>
    <t>Por qué una mejor dieta para usted también es buena para el planeta - AlbertoNews</t>
  </si>
  <si>
    <t>tenemosnoticias.com</t>
  </si>
  <si>
    <t>Marion Nestle, profesora emérita de nutrición, estudios alimentarios y salud pública en la Universidad de Nueva York, afirmó que el gobierno federal debería adoptar políticas alimentarias para promover dietas que no sólo sean nutritivas, sino también sostenibles.</t>
  </si>
  <si>
    <t>KKOL-AM (Seattle, WA)</t>
  </si>
  <si>
    <t>ΗΠΑ: Κι όμως πραγματικότητα πλέον το "αναίμακτο" κρέας!  - Ecozen</t>
  </si>
  <si>
    <t>ecozen.gr</t>
  </si>
  <si>
    <t>Πάντως, η καθηγήτρια του Πανεπιστημίου της Νέας Υόρκης, Marion Nestle, ανέφερε πως συμφωνεί ότι το συγκεκριμένο κρέας είναι ασφαλές αλλά επίσης καταλαβαίνει και τις αμφιβολίες του κόσμου. “Είναι μια τεχνολογική λύση σε ένα πολύπλοκο πρόβλημα.</t>
  </si>
  <si>
    <t>The Griffin Daily News</t>
  </si>
  <si>
    <t>From added sugar to sodium, here's how US dietary recommendations have changed over the last 50 years - Johnston Sun Rise</t>
  </si>
  <si>
    <t>Johnston Sun Rise</t>
  </si>
  <si>
    <t>Czy to zdrowe?</t>
  </si>
  <si>
    <t>Monitor Chicago</t>
  </si>
  <si>
    <t>Ekspertka ds. żywienia Marion Nestle z New York University twierdzi, że nowe przepisy mogą zachęcić producentów żywności do zmiany formuły produktów w celu zmniejszenia zawartości sodu, cukrów i tłuszczów nasyconych.</t>
  </si>
  <si>
    <t>Dakota Datebook</t>
  </si>
  <si>
    <t>WKYU-FM (Bowling Green, KY)</t>
  </si>
  <si>
    <t>The IOC’s response to the editorial came as no surprise to Marion Nestle, a professor emerita of nutrition, food studies and public health at New York University.
“Too much money is at stake for the IOC to refuse it,” she said in an email.
She called the Responsible Marketing Policy "a joke.”</t>
  </si>
  <si>
    <t>KRTS-FM (Marfa, TX)</t>
  </si>
  <si>
    <t>Public Radio East</t>
  </si>
  <si>
    <t>WMRA Public Radio (Harrisonburg, VA)</t>
  </si>
  <si>
    <t>My GVTC</t>
  </si>
  <si>
    <t>Marion Nestle, biologist and nutritionist at New York University, looks back a few decades and marvels at how food has has become something available anytime, anywhere: “You go into a clothing store and there are candy bars at the checkout counter.&amp;#34; She especially marvels at the escalating portion</t>
  </si>
  <si>
    <t>WCBE-FM (Columbus, OH)</t>
  </si>
  <si>
    <t>Houston Style Magazine</t>
  </si>
  <si>
    <t>Why you may be eating predigested food</t>
  </si>
  <si>
    <t>But we are paying a price, said Marion Nestle, the Paulette Goddard professor emerita of nutrition, food studies and public health at New York University, who has written books on food industry politics.</t>
  </si>
  <si>
    <t>Washington Times-Herald</t>
  </si>
  <si>
    <t>Join the 2024 Bloomberg American Health Summit: Bridging Public Health and Politics</t>
  </si>
  <si>
    <t>Newsdirectory3</t>
  </si>
  <si>
    <t>MacKenzie, Dean of the Johns Hopkins Bloomberg School of Public Health
Marion Nestle, Emerita Professor at New York University
Joshua M.</t>
  </si>
  <si>
    <t>Marion Nestle, Paulette Goddard‍ Professor ‍of Nutrition, Food Studies and‌ Public Health, Emerita,​ at New York University.</t>
  </si>
  <si>
    <t>Greenville Record Argus</t>
  </si>
  <si>
    <t>Nutrition Experts Weigh In on US Dietary Guidelines</t>
  </si>
  <si>
    <t>“This ​looks like every other set of dietary guidelines​ as 1980: eat your veggies ‌and⁤ reduce ⁢consumption of foods high in ⁤salt, sugar and saturated fat,” said Marion Nestle, a ⁣food policy expert, in an email.</t>
  </si>
  <si>
    <t>Nutrition Panel Recommends More Beans, Less Red Meat in US Dietary Guidelines</t>
  </si>
  <si>
    <t>“This looks like every other set of dietary guidelines since⁤ 1980: eat your veggies and reduce consumption of foods high in salt, sugar and saturated fat,” said Marion Nestle, a food policy expert.</t>
  </si>
  <si>
    <t>RFK Jr. Targets Ultra-Processed Foods: Could His Health Agenda Transform the FDA?</t>
  </si>
  <si>
    <t>Marion Nestle, a nutrition professor, noted it is “thrilling” to hear someone tackle chronic diseases. However, his controversial claims about vaccines and other health topics raise concerns.
Political Challenges:
Kennedy’s plans face significant hurdles.</t>
  </si>
  <si>
    <t>KSUT FM</t>
  </si>
  <si>
    <t>WNDD-FM (Ocala, FL)</t>
  </si>
  <si>
    <t>Wie Diäten und Gesundheitstrends wirklich auf unseren Körp</t>
  </si>
  <si>
    <t>FirmenPresse</t>
  </si>
  <si>
    <t>Broomfield Enterprise</t>
  </si>
  <si>
    <t>PresseBox</t>
  </si>
  <si>
    <t>WMUK 102.1 FM (Kalamazoo, MI)</t>
  </si>
  <si>
    <t>Netflix-serie over tweelingstudie</t>
  </si>
  <si>
    <t>nieuwsvoordietisten.nl</t>
  </si>
  <si>
    <t>Er is online meer kritiek te vinden op de opzet van de studie, maar de beroemde voedingsonderzoeker Marion Nestle schrijft in haar blog Food Politics: ‘Het idee van de tweelingstudie is slim en aantrekkelijk, het is logisch dat er veel media-aandacht voor is (..).</t>
  </si>
  <si>
    <t>nation.lk</t>
  </si>
  <si>
    <t>Marion Nestle, the Paulette Goddard Professor Emerita of Nutrition, Food Studies and Public Health at New York University. She was not involved in the research.
“We’ve known this for a long time but it’s good to have less kidney disease added to the benefits,” she said.</t>
  </si>
  <si>
    <t>Marion Nestle, a nutritionist and molecular biologist, echoed Passerrello’s sentiments, adding that “qualified health claims are ridiculous on their face.”
“Why would any sensible person think that all you have to do to prevent type 2 diabetes is eat 2 cups of yogurt a week?”</t>
  </si>
  <si>
    <t>KCHO/KFPR-FM (Chico, CA)</t>
  </si>
  <si>
    <t>KNSO-TV (Fresno, CA)</t>
  </si>
  <si>
    <t>WCLK-FM (Atlanta, GA)</t>
  </si>
  <si>
    <t>WNTZ-TV (Lafayette, LA)</t>
  </si>
  <si>
    <t>WSNY-FM (Columbus, OH)</t>
  </si>
  <si>
    <t>Renunta la bomboane de Ziua Indragostitilor. Iata cateva optiuni mai sanatoase</t>
  </si>
  <si>
    <t>ZiareLive.ro</t>
  </si>
  <si>
    <t>Cuvinte cheie:
vanzarile 
new york 
renunta 
universitatea 
fructele 
ciocolata 
branza 
stati 
optiuni 
asociatiei nationale 
capsunile 
platou 
ziua indragostitilor 
cofetarilor 
marion nestle</t>
  </si>
  <si>
    <t>FOOD INC. 2 - Review by April Neale</t>
  </si>
  <si>
    <t>Alliance of Women Film Journalists</t>
  </si>
  <si>
    <t>Another highlight the documentarians enlist is the sage commentary of Marion Nestle, an American molecular biologist, nutritionist, and public health advocate who rips the food companies for creating the large-portion culture, where late-night meals, endless snack points of purchase, and enormous portions</t>
  </si>
  <si>
    <t>Yogurts Can Make Limited Claim That The Food Reduces Risk Of Type 2 Diabetes, FDA Says</t>
  </si>
  <si>
    <t>South Florida Reporter</t>
  </si>
  <si>
    <t>See which foods can reduce the risk of heart and kidney disease</t>
  </si>
  <si>
    <t>worldstockmarket.net</t>
  </si>
  <si>
    <t>The study is just the latest in a growing body of research into the health benefits of plant-rich diets, said Marion Nestle, the Paulette Goddard Professor Emerita of Nutrition, Food Studies and Public Health at New York University. She was not involved in the research.</t>
  </si>
  <si>
    <t>WNIN-TV (Evansville, IN)</t>
  </si>
  <si>
    <t>Αυτές είναι οι υπερ-επεξεργασμένες τροφές που πρέπει να αποφεύγετε περισσότερο, σύμφωνα με μελέτη</t>
  </si>
  <si>
    <t>truelife.gr</t>
  </si>
  <si>
    <t>Τα ευρήματα αυτής της μελέτης ήταν συνεπή με εκατοντάδες άλλες στον τομέα, αλλά αυτό που την καθιστά μοναδική είναι η ανάλυση των διαφορετικών υποομάδων εντός της κατηγορίας των υπερ-επεξεργασμένων τροφίμων, δήλωσε η δρ Marion Nestle, ομότιμη καθηγήτρια Paulette Goddard της διατροφής, των σπουδών τροφίμων</t>
  </si>
  <si>
    <t>WAER-FM (Syracuse, NY)</t>
  </si>
  <si>
    <t>El impacto de los alimentos ultraprocesados en la salud: un experimento innovador en EEUU</t>
  </si>
  <si>
    <t>Según Marion Nestlé, destacada nutricionista, estudios bien diseñados como este son cruciales para respaldar cambios en las políticas de salud pública.
 “Cada investigación añade una pieza importante al rompecabezas de comprensión”, concluyó Hall.</t>
  </si>
  <si>
    <t>Colorado Hometown Weekly</t>
  </si>
  <si>
    <t>Las 9 señales de alerta para identificar alimentos ultraprocesados</t>
  </si>
  <si>
    <t>Diario La Mañana</t>
  </si>
  <si>
    <t>Los paquetes grandes están diseñados para hacerte comer en exceso, dijo Marion Nestle, profesora emérita de nutrición, estudios alimentarios y salud pública de la Universidad de Nueva York y autora de “Soda Politics”. “Si no puedes dejar de comer paquetes grandes, no los compres”, añadió.</t>
  </si>
  <si>
    <t>KUCB-FM (Unalaska, AK)</t>
  </si>
  <si>
    <t>The Biden administration says its trade policy puts people over corporations. Documents on baby formula show otherwise.</t>
  </si>
  <si>
    <t>The Lund Report</t>
  </si>
  <si>
    <t>“Infant formula companies want to sell more infant formula,” said Marion Nestle, professor emerita of nutrition, food studies and public health at New York University.</t>
  </si>
  <si>
    <t>Pet bolesti koje može da izazove ULTRAPRERAĐENA HRANA: Za neke namirnice i ne znate da su loše, jedna se izdvaja</t>
  </si>
  <si>
    <t>teslicdanas.net</t>
  </si>
  <si>
    <t>"Moja definicija za ultraprerađenu hranu je da ne možete da je napravite u svojoj kuhinji jer nemate mašine i nemate sastojke", rekla je stručnjakinja za politiku ishrane dr Marion Nestle za Si-En-En.</t>
  </si>
  <si>
    <t>Vínculos poco transparentes entre industria y universidades</t>
  </si>
  <si>
    <t>ladobe.com.mx</t>
  </si>
  <si>
    <t>KIOA-FM (Des Moines, IA)</t>
  </si>
  <si>
    <t>Hannibal Courier-Post</t>
  </si>
  <si>
    <t>WBOI-FM</t>
  </si>
  <si>
    <t>Links 19/10/2024: OpenAI, Microsoft Going Deeper Into Debt; FTC Rules Make It Easier To Cancel Services</t>
  </si>
  <si>
    <t>Techrights.org</t>
  </si>
  <si>
    <t>The key point, which neither he nor Marion Nestle seem to have appreciated, but which you will because you listened to the recent episode on insects as food (for people and their pets), is that the “waste” that insects are reducing is usually a feed product that could be fed direct to livestock and,</t>
  </si>
  <si>
    <t>Kerrville Daily Times</t>
  </si>
  <si>
    <t>Yellowstone Public Radio (Billings, MT)</t>
  </si>
  <si>
    <t>KANU-FM (Lawrence, KS)</t>
  </si>
  <si>
    <t>WGAU (Athens, GA)</t>
  </si>
  <si>
    <t>Mooresville Tribune</t>
  </si>
  <si>
    <t>Trumbull Times</t>
  </si>
  <si>
    <t>Article continues below this ad
Overall, the recommendations for the 2025-2030 Dietary Guidelines for Americans sound familiar, said Marion Nestle, a food policy expert.</t>
  </si>
  <si>
    <t>Latrobe Bulletin</t>
  </si>
  <si>
    <t>Yuma Sun</t>
  </si>
  <si>
    <t>AP News in Brief at 6:04 p.m. EST</t>
  </si>
  <si>
    <t>WVPE-FM (Elkhart, IN)</t>
  </si>
  <si>
    <t>Yogurts can make limited claim that the food reduces risk of type 2 diabetes, FDA says - KBSI Fox 23 Cape Girardeau News</t>
  </si>
  <si>
    <t>KBSI-TV (Cape Girardeau, MO)</t>
  </si>
  <si>
    <t>Marion Nestle, a food policy expert, said qualified health claims based on limited evidence are "ridiculous on their face."
"Translation: If you want to believe this, go ahead, but it's not on the basis of evidence," she said.</t>
  </si>
  <si>
    <t>WYIN-TV (Merrillville, IN)</t>
  </si>
  <si>
    <t>Views of the News</t>
  </si>
  <si>
    <t>KCSO-TV (Sacramento, CA)</t>
  </si>
  <si>
    <t>Trump picks celebrity TV doc among other controversial health appointees</t>
  </si>
  <si>
    <t>Medical Brief</t>
  </si>
  <si>
    <t>WSIU-TV (Carbondale, IL)</t>
  </si>
  <si>
    <t>Lake County Record-Bee</t>
  </si>
  <si>
    <t>KRLA-AM (Camarillo, CA)</t>
  </si>
  <si>
    <t>Why experts say there's 'no such thing' as healthy chocolate - and $20 'raw' ... trends now</t>
  </si>
  <si>
    <t>Mogaznews En</t>
  </si>
  <si>
    <t>KAZU-FM (Pacific Grove, CA)</t>
  </si>
  <si>
    <t>El plan de Robert F. Kennedy Jr. para hacer "saludable" a Estados Unidos preocupa a los expertos en salud</t>
  </si>
  <si>
    <t>corporativo, eliminar los conflictos de intereses entre la industria y el gobierno, sacar los productos químicos tóxicos del suministro de alimentos y hacer todo lo posible para reorientar el entorno alimentario y los consejos dietéticos hacia la salud», escribió la investigadora en política alimentaria Marion … Nestle en su blog Food Politics.</t>
  </si>
  <si>
    <t>No podían mentir, no podían hacer trampas, no podían hacer nada excepto comer lo que se les daba», dijo la bióloga molecular y científica de la nutrición Marion Nestle, que es la profesora emérita Paulette Goddard de Nutrición, Estudios Alimentarios y Salud Pública en la Universidad de Nueva York.</t>
  </si>
  <si>
    <t>Search &amp; News</t>
  </si>
  <si>
    <t>KVPR-FM (Fresno, CA)</t>
  </si>
  <si>
    <t>KRWG-TV (Las Cruces, NM)</t>
  </si>
  <si>
    <t>¿Existe realmente algo como una gaseosa saludable?</t>
  </si>
  <si>
    <t>El Noticiero Digital Argentina</t>
  </si>
  <si>
    <t>, dijo Marion Nestle, quien escribió un libro sobre la industria de los refrescos y es profesora emérita de nutrición, estudios alimentarios y salud pública en la Universidad de Nueva York. “Si estás tratando de reducir el azúcar, esa es una manera de hacerlo.</t>
  </si>
  <si>
    <t>La experta en políticas alimentarias, Marion Nestlé, calificó las afirmaciones basadas en evidencia limitada como “ridículas a primera vista”.</t>
  </si>
  <si>
    <t>“Se trataba del ‘estudio más importante sobre nutrición en años’”, dijo Marion Nestle, catedrática emérita de Nutrición, Alimentación y Salud Pública de la Universidad de Nueva York.</t>
  </si>
  <si>
    <t>5 συμβουλές για να επιταχύνετε την απώλεια βάρους μετά τα 40</t>
  </si>
  <si>
    <t>flowmagazine.gr</t>
  </si>
  <si>
    <t>Marion Nestle στο American Journal of Public Health το 2021, διαπίστωσαν ότι τα μεγέθη των μερίδων των ανθυγιεινών επεξεργασμένων τροφίμων είναι πέντε φορές μεγαλύτερα από ό,τι στο παρελθόν. Δεδομένου ότι είναι δύσκολο να αποφύγετε όλα τα επεξεργασμένα τρόφιμα, η δρ.</t>
  </si>
  <si>
    <t>Οι 10 διατροφικοί μύθοι που οι ειδικοί θέλουν να καταρρίψουν</t>
  </si>
  <si>
    <t>Marion Nestle, ομότιμη καθηγήτρια διατροφής, διατροφικών σπουδών και δημόσιας υγείας στο Πανεπιστήμιο της Νέας Υόρκης. </t>
  </si>
  <si>
    <t>York News-Times</t>
  </si>
  <si>
    <t>Fakaza News</t>
  </si>
  <si>
    <t>Large packages are designed to make you overeat, said Marion Nestle, an emeritus professor of nutrition, food studies, and public health at New York University and the author of “Soda Politics.” “If you can’t stop eating from big packages, don’t buy them,” she added.</t>
  </si>
  <si>
    <t>WMOT-FM (Murfreesboro, TN)</t>
  </si>
  <si>
    <t>Perishable News</t>
  </si>
  <si>
    <t>World-renowned nutritionist and author Marion Nestle will be the featured speaker at this year’s Connect With Fresh Consumer Media and Influencer Luncheon, one of several engaging presentations taking place on Wednesday, Dec. 11, at the New York Produce Show and Conference.</t>
  </si>
  <si>
    <t>KCBX-FM (San Luis Obispo, CA)</t>
  </si>
  <si>
    <t>Athens Daily Review</t>
  </si>
  <si>
    <t>Oneida Daily Dispatch</t>
  </si>
  <si>
    <t>Greensburg Daily News</t>
  </si>
  <si>
    <t>Fort Morgan Times</t>
  </si>
  <si>
    <t>Are ‘Superfoods’ Nothing More Than a Health Scam?</t>
  </si>
  <si>
    <t>Empoword Journalism</t>
  </si>
  <si>
    <t>In her book Unsavoury Truth, Dr Marion Nestle further corroborates this theory, stating that the term ‘superfood’ is ‘nutritionally meaningless’. She argues that no single superfood will give you a healthy diet, as our overall eating pattern is much more important.</t>
  </si>
  <si>
    <t>Frozen waffle, quarter pounder recalls have Americans wondering: Is our food safe?</t>
  </si>
  <si>
    <t>Farm Forum</t>
  </si>
  <si>
    <t>This means that everyone who comes in contact with a food during production and distribution does what is necessary to keep food safe and cares that it is safe," said Marion Nestle, an emeritus professor of nutrition and food studies at New York University.</t>
  </si>
  <si>
    <t>fumara.gr</t>
  </si>
  <si>
    <t>Oskaloosa Herald</t>
  </si>
  <si>
    <t>Lulop.com</t>
  </si>
  <si>
    <t>Tahlequah Daily Press</t>
  </si>
  <si>
    <t>WQCS News</t>
  </si>
  <si>
    <t>KTAZ-TV (Phoenix, AZ)</t>
  </si>
  <si>
    <t>WUWF-FM</t>
  </si>
  <si>
    <t>The Dogwood</t>
  </si>
  <si>
    <t>Bedford Gazette</t>
  </si>
  <si>
    <t>Corsicana Daily Sun</t>
  </si>
  <si>
    <t>The Voice (Clinton Township, MI)</t>
  </si>
  <si>
    <t>KBLR-TV (Las Vegas, NV)</t>
  </si>
  <si>
    <t>WKMS-FM (Murray, KY)</t>
  </si>
  <si>
    <t>40 Under 40: The Rising Stars in NYC Food Policy (Class of 2024)</t>
  </si>
  <si>
    <t>NYC Food Policy Center</t>
  </si>
  <si>
    <t>One word you would use to describe our food system: Convoluted
Food policy hero: I credit Marion Nestle and Alice Waters for introducing me to food policy and Dr. May May Leung for teaching me.</t>
  </si>
  <si>
    <t>Celebrating Women's Impact in Food Policy</t>
  </si>
  <si>
    <t>One such pioneer is Marion Nestle, a renowned nutritionist and author, whose work has greatly influenced public understanding of food politics and policy. With a career spanning decades, Nestle has been a leading voice in advocating for transparency and accountability within the food industry.</t>
  </si>
  <si>
    <t>‘Doesn’t Mean What it Used To’: Organic Food Sales Surge Despite Questions on Label Integrity</t>
  </si>
  <si>
    <t>Yournews</t>
  </si>
  <si>
    <t>Marion Nestle, a respected former NYU professor, pointed out that the current USDA organic standards do not necessarily align with the principles of regenerative agriculture, which emphasizes soil health and ecosystem sustainability.</t>
  </si>
  <si>
    <t>Clinton Herald</t>
  </si>
  <si>
    <t>KTDO-TV (El Paso, TX)</t>
  </si>
  <si>
    <t>Richmond Register</t>
  </si>
  <si>
    <t>Palladium-Item</t>
  </si>
  <si>
    <t>SWVA Today</t>
  </si>
  <si>
    <t>Agri-Pulse</t>
  </si>
  <si>
    <t>Kennedy and MAHA: Do they have staying power?</t>
  </si>
  <si>
    <t>Marion Nestle, nutrition professor emerita at New York University and author of “Food Politics,” also doesn't think Trump will stick with the nutrition issue.
“Nobody I know is applauding MAHA,” she said in an email response to questions. </t>
  </si>
  <si>
    <t>Friend or foe? Environmental advocates eye Kennedy nomination warily</t>
  </si>
  <si>
    <t>The New Lede</t>
  </si>
  <si>
    <t>Marion Nestle, an author and professor of nutrition, food studies and public health at New York University, said in a recent blog post that Kennedy’s expressed desire to get rid of ultra-processed foods in schools, fast food and artificial colors, among other issues, are “the kinds of things I’ve been</t>
  </si>
  <si>
    <t>Spotlight on cancer-causing food additive as advocates demand FDA ban Red Dye 3</t>
  </si>
  <si>
    <t>“In Europe where these dyes are banned – or at least they have to have warning labels on them – they use the precautionary principle which says if there is any question about the safety they don’t go into the food supply,” Marion Nestle said on CNN on Friday. “We do it the opposite way.</t>
  </si>
  <si>
    <t>KGOU Radio (Oklahoma City, OK)</t>
  </si>
  <si>
    <t>McDowell News</t>
  </si>
  <si>
    <t>'Make America Healthy Again': RFK Jr. Wins Over Fans by Stoking Food Toxin Fear - Carrier Management</t>
  </si>
  <si>
    <t>Carrier Management</t>
  </si>
  <si>
    <t>“There are a lot of things about Kennedy’s views about health I’m not very comfortable with – I certainly don’t share his position on vaccination, I don’t share his position on fluoride,” said Marion Nestle, a retired New York University nutrition professor who also writes the Food Politics newsletter</t>
  </si>
  <si>
    <t>De bittere strijd tussen suiker en zoet</t>
  </si>
  <si>
    <t>duurzaamnieuws.nl</t>
  </si>
  <si>
    <t>De Amerikaanse Marion Nestle, de hoge priesteres van de kritische voedingskunde, heeft op haar blog Food Politics zelfs een aparte terugkerende rubriek met nieuwe gevallen van gekochte voedingswetenschap. Daarvan hieronder aan het slot een verrassend Nederlands voorbeeld.</t>
  </si>
  <si>
    <t>Raw Milk CEO Blames Recall on Politics, Eyes FDA Position</t>
  </si>
  <si>
    <t>World Today News</t>
  </si>
  <si>
    <t>Marion Nestle, a professor of food studies at New York University, ⁣took issue with Kennedy’s recent statements promoting⁤ the consumption of raw, unpasteurized milk.
“He’s been saying things about raw milk that are just not true,” Nestle stated.</t>
  </si>
  <si>
    <t>Ultra-Processed Foods: The Science Explained</t>
  </si>
  <si>
    <t>Marion Nestle, emeritus professor of nutrition ‍at New York University, offers a simple rule of thumb: ⁢ “If a normal‍ kitchen cannot produce a food, that means it is ultra-processed.”</t>
  </si>
  <si>
    <t>US Dietary Guidelines: Nutrition Experts Offer Insights</t>
  </si>
  <si>
    <t>Marion Nestle, a renowned food policy expert, commented on the overall familiarity of the recommendations, stating, ⁤”this looks like every other set of dietary ​guidelines since 1980:‍ eat your veggies and ​reduce consumption of foods high in salt, sugar and saturated fat.”</t>
  </si>
  <si>
    <t>The Public's Radio</t>
  </si>
  <si>
    <t>New Canaan Advertiser</t>
  </si>
  <si>
    <t>Article continues below this ad
Marion Nestle, biologist and nutritionist at New York University, looks back a few decades and marvels at how food has has become something available anytime, anywhere: “You go into a clothing store and there are candy bars at the checkout counter."</t>
  </si>
  <si>
    <t>VNExplorer Network</t>
  </si>
  <si>
    <t>NestlĂ© partnership with University of Pretoria raises critical corporate capture questions (Part 2)</t>
  </si>
  <si>
    <t>Marion Nestlé (no relation to Nestlé the company), a molecular biologist and nutritionist, has said that research funded by industry tends to favour the industry - this is known as The Funding Effect.</t>
  </si>
  <si>
    <t>Marion Nestle, nutricionista y bióloga molecular, se hizo eco de los sentimientos de Passerrello y agregó que "las afirmaciones calificadas sobre propiedades saludables son ridículas a primera vista".</t>
  </si>
  <si>
    <t>Konsumsi Yoghurt Diklaim Bisa Turunkan Risiko Diabetes Tipe 2, Simak Penjelasan dari FDA</t>
  </si>
  <si>
    <t>Marion Nestle, pakar kebijakan pangan, bahkan menyebut klaim kesehatan yang memenuhi syarat berdasarkan bukti terbatas adalah "konyol".</t>
  </si>
  <si>
    <t>Kamala Harris is een gezonde en sociale foodie</t>
  </si>
  <si>
    <t>Kamala Harris is een gezonde en sociale foodie
Volgens de bekende Amerikaanse voedingsdeskundige Marion Nestle houdt Kamala Harris van goed eten en snapt ze ook het sociale belang van voedsel.
Harris' interesse in voedsel is meer dan een hobby, zegt Nestle die op zoek ging naar haar kookverleden.</t>
  </si>
  <si>
    <t>The best breakfast cereals for your health</t>
  </si>
  <si>
    <t>But as Marion Nestle, a professor of nutrition at New York University, points out in her book, Food Politics, "the increasingly common addition of vitamins and minerals" is unlikely to improve our health and "raises concerns about the possible hazards of too much of a good thing".</t>
  </si>
  <si>
    <t>The Statesville Record and Landmark</t>
  </si>
  <si>
    <t>Les haricots et les lentilles deviennent des vedettes dans un rapport d'avis diététique récemment publié - Nouvelles Du Monde</t>
  </si>
  <si>
    <t>Nouvelles du Monde</t>
  </si>
  <si>
    <t>C'est ce que disaient les lignes directrices en 1980 et ce depuis lors ", a déclaré dans un courrier électronique la biologiste moléculaire et scientifique en nutrition, le Dr Marion Nestle, professeur Paulette Goddard de nutrition, d'études alimentaires et de santé publique, émérite, à l'Université</t>
  </si>
  <si>
    <t>Does Eating Yogurt Truly Lower Your Risk of Type 2 Diabetes?</t>
  </si>
  <si>
    <t>Northlines</t>
  </si>
  <si>
    <t>Salem Radio Network News</t>
  </si>
  <si>
    <t>WMOR-TV (Tampa, FL)</t>
  </si>
  <si>
    <t>Marion Nestle, the Paulette Goddard Professor Emerita of Nutrition, Food Studies and Public Health at New York University. She was not involved in the research.
"We've known this for a long time but it's good to have less kidney disease added to the benefits," she said.</t>
  </si>
  <si>
    <t>From added sugar to sodium, here's how US dietary recommendations have changed over the last 50 years - Magnolia State Live</t>
  </si>
  <si>
    <t>Magnolia State Live</t>
  </si>
  <si>
    <t>KYUK (Bethel, AK)</t>
  </si>
  <si>
    <t>WEKU (Richmond, KY)</t>
  </si>
  <si>
    <t>From added sugar to sodium, here's how US dietary recommendations have changed over the last 50 years - Warwick Beacon</t>
  </si>
  <si>
    <t>Warwick Beacon</t>
  </si>
  <si>
    <t>Il ruolo delle lobby nel settore agroalimentare minaccia l’azione climatica</t>
  </si>
  <si>
    <t>lasvolta.it</t>
  </si>
  <si>
    <t>Proprio in occasione della diffusione dei dati sopra riportati, Marion Nestle, biologa molecolare ed ex docente di alimentazione e salute pubblica alla New York University, aveva dichiarato al giornale FoodDive: “È difficile pensare a un singolo settore della politica alimentare o nutrizionale che non</t>
  </si>
  <si>
    <t>Danville Register &amp; Bee</t>
  </si>
  <si>
    <t>NewsGram</t>
  </si>
  <si>
    <t>WUKY-FM (Lexington, KY)</t>
  </si>
  <si>
    <t>The Nassau Guardian</t>
  </si>
  <si>
    <t>WHQR-FM (Wilmington, NC)</t>
  </si>
  <si>
    <t>Nutritionist on why removal of food dyes poses ‘problem’ for cereal brands</t>
  </si>
  <si>
    <t>Upstract</t>
  </si>
  <si>
    <t>Nutritionist on why removal of food dyes poses 'problem' for cereal brands
CNN's Pamela Brown speaks with nutritionist Marion Nestle about the risk of food additives and the challenges cereal companies face when considering removing food dyes.</t>
  </si>
  <si>
    <t>Press and Guide</t>
  </si>
  <si>
    <t>The Daily Nonpareil</t>
  </si>
  <si>
    <t>Enterprise-Journal</t>
  </si>
  <si>
    <t>KULX-TV (Salt Lake City, UT)</t>
  </si>
  <si>
    <t>WICA-FM (Traverse City, MI)</t>
  </si>
  <si>
    <t>Independent Tribune</t>
  </si>
  <si>
    <t>Cherokee Phoenix</t>
  </si>
  <si>
    <t>IMG_1628 - Crawford County Now</t>
  </si>
  <si>
    <t>Crawford County Now</t>
  </si>
  <si>
    <t>Ukiah Daily Journal</t>
  </si>
  <si>
    <t>KSMU-FM (Springfield, MO)</t>
  </si>
  <si>
    <t>Namirnica koju često koristimo djeluje protiv dijabetesa?</t>
  </si>
  <si>
    <t>otisak.ba</t>
  </si>
  <si>
    <t>Marion Nestle, profesorica nutricionizma, zdrave hrane i javnog zdravstva kritizirala je odluku upitavši: Zašto bi bilo koja razumna osoba mislila da je sve što trebate učiniti kako biste spriječili dijabetes tipa 2 konzumirati 2 šalice jogurta sedmično?.</t>
  </si>
  <si>
    <t>Knowledia</t>
  </si>
  <si>
    <t>"Infections caused by raw milk are rare," says Marion Nestle, professor emerita of nutrition, food studies, and public health at New York University, "but when they occur they can be deadly, especially to children. This is a risk I would rather not take."
Nestle is not alone in sounding the alarm.</t>
  </si>
  <si>
    <t>More Beans, Less Red Meat: Nutritionists Weigh in on U.S. Dietary Guidelines</t>
  </si>
  <si>
    <t>Overall, the recommendations for the 2025-2030 Dietary Guidelines for Americans sound familiar, said Marion Nestle, PhD, MPH, of New York University, a food policy expert.</t>
  </si>
  <si>
    <t>NY Breaking</t>
  </si>
  <si>
    <t>More Beans And Less Red Meat: Nutritionists Weigh In On US Dietary Guidelines</t>
  </si>
  <si>
    <t>Overall, the recommendations for the 2025-2030 Dietary Guidelines for Americans sound familiar, says food policy expert Marion Nestle.</t>
  </si>
  <si>
    <t>KAXE-FM (Grand Rapids, MN)</t>
  </si>
  <si>
    <t>Yogurt and Type 2 Diabetes: FDA-Approved Health Claim Explained</t>
  </si>
  <si>
    <t>Archyde</t>
  </si>
  <si>
    <t>Marion Nestle, a nutritionist and molecular biologist, noted that any type of yogurt can make this limited claim as long as it uses the exact wording specified by the FDA.
High consumption of added sugar has been linked to an increased risk of type 2 diabetes in multiple studies.</t>
  </si>
  <si>
    <t>WEMU 89.1</t>
  </si>
  <si>
    <t>WWSI-TV (Bala Cynwyd, PA)</t>
  </si>
  <si>
    <t>Red Bluff Daily News</t>
  </si>
  <si>
    <t>WIND-AM (Chicago, IL)</t>
  </si>
  <si>
    <t>WJCT News</t>
  </si>
  <si>
    <t>More Beans and Less Red Meat: Nutrition Experts Weigh In on US Dietary Guidelines</t>
  </si>
  <si>
    <t>San Fernando Valley Sun</t>
  </si>
  <si>
    <t>Många skiften om vad som är sanning i matbranschen</t>
  </si>
  <si>
    <t>Fri Köpenskap</t>
  </si>
  <si>
    <t>Därför fick Marion Nestles bok ”Food Politics” sto...</t>
  </si>
  <si>
    <t>KXLG</t>
  </si>
  <si>
    <t>KUAR-FM (Little Rock, AR)</t>
  </si>
  <si>
    <t>Relaciones peligrosas: Vínculos poco transparentes entre la industria y las universidades</t>
  </si>
  <si>
    <t>Letra Fría</t>
  </si>
  <si>
    <t>The News Courier</t>
  </si>
  <si>
    <t>isp.netscape.com</t>
  </si>
  <si>
    <t>What I'm Reading (June 6)</t>
  </si>
  <si>
    <t>"In 1995, when Marion Nestle was on the committee drafting the Dietary Guidelines for Americans, things were run differently.</t>
  </si>
  <si>
    <t>Sterling Journal-Advocate</t>
  </si>
  <si>
    <t>Wisconsin State Farmer</t>
  </si>
  <si>
    <t>Shelton Herald</t>
  </si>
  <si>
    <t>WNDB-AM (Daytona Beach, FL)</t>
  </si>
  <si>
    <t>More beans and less red meat: Nutrition experts weigh in  on US dietary guidelines</t>
  </si>
  <si>
    <t>The Review</t>
  </si>
  <si>
    <t>WRVO-FM (Oswego, NY)</t>
  </si>
  <si>
    <t>Expert Reveals Sinister Reason Froot Loops Doesn't Remove Cancer-Related Dyes From Its Products</t>
  </si>
  <si>
    <t>WhatsNew2Day</t>
  </si>
  <si>
    <t>But despite the mounting pressure, the cereal giant is unlikely to make changes, according to Marion Nestlé, a prominent nutritionist who was a professor at New York University for nearly 30 years.</t>
  </si>
  <si>
    <t>10 Nutrition Myths Busted!</t>
  </si>
  <si>
    <t>readersdigest.in</t>
  </si>
  <si>
    <t>This is not the case, said Marion Nestle, a professor emerita of nutrition, food studies and public health at New York University, adding, “In the 1950s, the first dietary recommendations for prevention of obesity, type 2 diabetes, heart disease and the like advised balancing calories and minimizing</t>
  </si>
  <si>
    <t>The Record (Troy, NY)</t>
  </si>
  <si>
    <t>Cancer Health</t>
  </si>
  <si>
    <t>Qué sabemos sobre si comer yogur reduce el riesgo de padecer diabetes: la evidencia es limitada · Factchequeado.com</t>
  </si>
  <si>
    <t>Factchequeado</t>
  </si>
  <si>
    <t>Marion Nestlé, nutricionista y bióloga molecular experta en políticas alimentarias, contó a Associated Press que las afirmaciones calificadas sobre propiedades saludables basadas en evidencia limitada son "ridículas a primera vista".</t>
  </si>
  <si>
    <t>Commonwealth Journal</t>
  </si>
  <si>
    <t>Iowa Starting Line</t>
  </si>
  <si>
    <t>The Hanford Sentinel</t>
  </si>
  <si>
    <t>Terra Madre Salone del Gusto 2024</t>
  </si>
  <si>
    <t>pubblicitaitalia.com</t>
  </si>
  <si>
    <t>ambientalista, presidente onorario della comunità scientifica di Wwf Italia; Moni Ovadia, attore teatrale, drammaturgo, scrittore, compositore e cantante italiano; Alice Waters, cuoca e saggista, attivista per l’educazione alimentare e proprietaria del celebre Chez Panisse di Berkeley, California; Marion … Nestle, professoressa emerita di Nutrizione, studi sull’alimentazione e salute pubblica alla New York University; Sabrina Giannini, giornalista, conduttrice televisiva e storica autrice di Report; Dave Goulson, professore di scienze naturali e ambientali all'Università del Sussex. </t>
  </si>
  <si>
    <t>Fremont Tribune</t>
  </si>
  <si>
    <t>Daily Tribune (Clinton Township, MI)</t>
  </si>
  <si>
    <t>At the Table - The Weight of Ozempic: What Happens When We No Longer Care About Food?</t>
  </si>
  <si>
    <t>KSRO-AM (Santa Rosa, CA)</t>
  </si>
  <si>
    <t>Marion Nestle, reporter Laura Reiley, food trend expert Kara Nielsen, and moderator Roberta Klugman.
The panel discussion is on Tuesday, March 26th, from 9:30 am – 11:00 am PDT, hosted by Les Dames d’Escoffier International San Francisco Chapter.</t>
  </si>
  <si>
    <t>Utah Public Radio</t>
  </si>
  <si>
    <t>WNOR-FM (Chesapeake, VA)</t>
  </si>
  <si>
    <t>EdGlenToday.com</t>
  </si>
  <si>
    <t>Évitez les bonbons pour la Saint-Valentin. Voici quelques options plus saines</t>
  </si>
  <si>
    <t>Il est également assez salé et riche en matières grasses, il entre donc dans la catégorie des boissons à consommer avec modération”, a déclaré Marion Nestlé, professeur de nutrition, d’études alimentaires et de santé publique à Université de New York, dans un e-mail à NPR.</t>
  </si>
  <si>
    <t>Les aliments transformés se cachent à la vue de tous – et cela pourrait constituer un gros problème de santé publique - Nouvelles Du Monde</t>
  </si>
  <si>
    <t>“Je pense qu’il existe suffisamment de preuves pour recommander une réduction des calories provenant des aliments ultra-transformés”, a déclaré Marion Nestle, professeur émérite de nutrition, d’études alimentaires et de santé publique à NYU, au Washington Post. « Je ne dirais pas de ne pas les manger</t>
  </si>
  <si>
    <t>WDDE-FM (Dover, DE)</t>
  </si>
  <si>
    <t>Ultraprocessed foods linked with early death, according to 30 years of research</t>
  </si>
  <si>
    <t>KBIE-FM (Nebraska City, NE)</t>
  </si>
  <si>
    <t>Alabama Public Radio (Tuscaloosa, AL)</t>
  </si>
  <si>
    <t>WBFO-FM (Buffalo, NY)</t>
  </si>
  <si>
    <t>WCAI-FM (Woods Hole, MA)</t>
  </si>
  <si>
    <t>At the Grocery Store, Blinded by the Light of the ‘Health Halo’</t>
  </si>
  <si>
    <t>Portside</t>
  </si>
  <si>
    <t>“If the marketing is well done, it slips below the radar of critical thinking,” said Marion Nestle, an emeritus professor of nutrition and food studies at New York University.</t>
  </si>
  <si>
    <t>Bowen Island Undercurrent</t>
  </si>
  <si>
    <t>KAWC-FM (Yuma, AZ)</t>
  </si>
  <si>
    <t>Raw Milk Trend Fueled by Social Media: A Health Boon or Risk?</t>
  </si>
  <si>
    <t>BNN Breaking</t>
  </si>
  <si>
    <t>Marion Nestle, see the trend of raw milk consumption as part of a broader anti-authoritarian, anti-science movement. Pasteurization is widely recognized as a significant public health achievement, and pasteurized milk is not considered ultra-processed.</t>
  </si>
  <si>
    <t>Darien Times</t>
  </si>
  <si>
    <t>CDC to vaccinate livestock workers for seasonal flu in bird flu campaign</t>
  </si>
  <si>
    <t>The Fence Post</t>
  </si>
  <si>
    <t>Meanwhile, Marion Nestle, professor of food science emerita at New York University, blogged about the continuing popularity of raw milk despite its dangers.</t>
  </si>
  <si>
    <t>Journal Gazette &amp; Times-Courier</t>
  </si>
  <si>
    <t>The Sentinel</t>
  </si>
  <si>
    <t>Powell River Peak</t>
  </si>
  <si>
    <t>The Chippewa Herald</t>
  </si>
  <si>
    <t>On Deck</t>
  </si>
  <si>
    <t>Central Florida Public Media</t>
  </si>
  <si>
    <t>KUAF-FM (Fayetteville, AR)</t>
  </si>
  <si>
    <t>WFDD-FM (Winston-Salem, NC)</t>
  </si>
  <si>
    <t>The Marshall Independent</t>
  </si>
  <si>
    <t>Kosi mund të zvogëlojë rrezikun e diabetit të tipit 2</t>
  </si>
  <si>
    <t>alsat.mk</t>
  </si>
  <si>
    <t>Marion Nestle, profesoreshë e të ushqyerit, ushqimit të shëndetshëm dhe shëndetit publik në Universitetin e Nju Jorkut, kritikoi vendimin, duke pyetur: “Pse çdo person i arsyeshëm do të mendonte se gjithçka që duhet të bëni për të parandaluar diabetin e tipit 2 është të konsumoni 2 gota kos në javë.</t>
  </si>
  <si>
    <t>Want to live longer? Become a tea drinker new study suggests</t>
  </si>
  <si>
    <t>ZM Radio</t>
  </si>
  <si>
    <t>said Marion Nestle, a professor of food studies at New York University. "I like tea. It's great to drink. But a cautious interpretation seems like a good idea."
There's not enough evidence to advise changing tea habits, said Inoue-Choi.</t>
  </si>
  <si>
    <t>Dr. Strangekennedy</t>
  </si>
  <si>
    <t>Of course, were someone like Jake Tapper serious about his concern for our food system, he could have featured heroic critics like Marion Nestle on his shows all these years. But, as Kamala Harris used to say, these pundits not serious people.</t>
  </si>
  <si>
    <t>Organic Consumers Association</t>
  </si>
  <si>
    <t>According to Marion Nestle, professor emerita of nutrition, food studies and public health at New York University:
“These statements may seem identical, but the formula industry wants formula to be viewed as equivalent to or better than breastfeeding.</t>
  </si>
  <si>
    <t>Book of Answers in a World of Questions</t>
  </si>
  <si>
    <t>—Marion Nestle, professor emerita at NYU; author of Slow Cooked: An Unexpected Life in Food Politics
For a donation of $50 or more we will send you a copy (copies should be in our office by September 15)!</t>
  </si>
  <si>
    <t>KMUW-FM (Wichita, KS)</t>
  </si>
  <si>
    <t>Bertie Ledger-Advance</t>
  </si>
  <si>
    <t>Newsletter: Does Effective Altruism Get Giving Right?</t>
  </si>
  <si>
    <t>Open to Debate</t>
  </si>
  <si>
    <t>August 20, 2024
Financial Times
Watch Marietje’s debate on whether Europe has declared war on American tech companies
Life Sentence: 25 Years of Putin
Edward Lucas | August 18, 2024
CEPA
Watch Edward’s debate on whether Russia is a marginal power
The FDA’s Revolving Door: An Ongoing Concern
Marion … Nestle | August 20, 2024
Food Politics
Watch Marion’s debate on whether we should eat more processed foods
As a nonprofit organization, Open to Debate strives to restore critical thinking, facts, reason, and civility in public discourse.</t>
  </si>
  <si>
    <t>WXPR-FM (Rhinelander, WI)</t>
  </si>
  <si>
    <t>TownandCountryToday.com</t>
  </si>
  <si>
    <t>WYPR-FM (Baltimore, MD)</t>
  </si>
  <si>
    <t>The Planet Well being Weight loss program: Scale back the Threat of Untimely Demise from Most cancers and Coronary heart Illness</t>
  </si>
  <si>
    <t>Time.News</t>
  </si>
  <si>
    <t>Marion Nestle, professor emeritus of vitaminmeals and public well being research in New York Collegementioned that the federal authorities needs to be taken meals insurance policies to advertise diets which isn’t solely nutritious, but in addition sustainable.
” he authorities might develop clear dietary</t>
  </si>
  <si>
    <t>“Eating 2 cups of yogurt every week prevents diabetes”… Can I trust you?</t>
  </si>
  <si>
    <t>Food policy expert Marion Nestlé called the health claims based on limited evidence “nonsense.”
Park Hae-sik, Donga.com reporter pistols@donga.com
great
0dog
I’m so sad
0dog
I’m angry
0dog
I recommend it
dog
Hot news now
 2024-05-07 12:58:22</t>
  </si>
  <si>
    <t>Yogurt as an ally against type 2 diabetes? What the experts say - 2024-04-18 12:42:17</t>
  </si>
  <si>
    <t>2025 Dietary Guidelines: More Beans, Less Meat, But No Word on Ultraprocessed Foods or Alcohol</t>
  </si>
  <si>
    <t>Nonetheless, a prominent food policy expert, Marion Nestle, ​points out the⁣ absence of guidance on calorie balancing, an ⁣issue crucial given the rise ⁢in calorie ⁤overconsumption, particularly ‍from ultra-processed⁣ foods.</t>
  </si>
  <si>
    <t>Ottumwa Courier</t>
  </si>
  <si>
    <t>Ozempic might be an "pressing menace to the meals trade": in…</t>
  </si>
  <si>
    <t>The rising penetration of Ozempic medicine and the corresponding to into shopper consuming habits. to be a “massive menace to the meals trade and processed meals,” New York College Professor Emeritus of Diet, Meals Research and Public Well being Marion Nestle mentioned in an interview with New York Instances</t>
  </si>
  <si>
    <t>"The Fallacy of 'Healthy' Chocolate: Nutritionist Debunks Claims of Health Benefits"</t>
  </si>
  <si>
    <t>Winona Daily News</t>
  </si>
  <si>
    <t>Dietary guidelines committee punts on ultra-processed food, a win for General Mills</t>
  </si>
  <si>
    <t>Critics say studies already are clear: Food that is “irresistibly delicious that can’t be made in home kitchens,” as nutritionist Marion Nestle puts it, leads to excess calorie consumption and high obesity rates.</t>
  </si>
  <si>
    <t>The Meridian Star</t>
  </si>
  <si>
    <t>My raw milk past, and why I've left it behind</t>
  </si>
  <si>
    <t>Bleeding Heartland</t>
  </si>
  <si>
    <t>Marion Nestle, professor emerita of nutrition, food studies, and public health, New York University, speak for me. According to Dr. Nestle, the raw milk trend has food safety experts, “Absolutely horrified… pasteurizing milk is one of the great public health achievements of the 20th century.” </t>
  </si>
  <si>
    <t>FDA says yogurt makers can make 'qualified' claims about T2D prevention</t>
  </si>
  <si>
    <t>McKnight's Senior Living</t>
  </si>
  <si>
    <t>"Food, Inc. 2" From Directors Robert Kenner and Melissa Robledo</t>
  </si>
  <si>
    <t>SHOOT</t>
  </si>
  <si>
    <t>Marion Nestle, biologist and nutritionist at New York University, looks back a few decades and marvels at how food has has become something available anytime, anywhere: "You go into a clothing store and there are candy bars at the checkout counter."</t>
  </si>
  <si>
    <t>Američani ogromno hrane proizvedejo, ogromno pa jo tudi zavržejo</t>
  </si>
  <si>
    <t>times.si</t>
  </si>
  <si>
    <t>Raziskovalka Marion Nestle je raziskovala povezavo med prehransko industrijo, politiko in prehranjevanjem. Ugotovila je, da nekje od 80 let naprej z nastopom Reaganove vlade, je hrana na nek način prešla v neko res hiperprodukcijo.</t>
  </si>
  <si>
    <t>Katera hrana nam skrajša življenje? Študija ugotavlja, da so najbolj problematična ta živila</t>
  </si>
  <si>
    <t>Marion Nestle, zaslužna profesorica Paulette Goddard za prehrano, študije hrane in javno zdravje na Univerzi v New Yorku.</t>
  </si>
  <si>
    <t>What bakery &amp; snack producers can expect under RFK Jr’s health agenda</t>
  </si>
  <si>
    <t>BakeryandSnacks</t>
  </si>
  <si>
    <t>I’ll believe it when I see it,” Marion Nestle, a former New York University nutrition professor, told the BBC.
Still, she believes Kennedy’s campaign is overdue. “It is just thrilling to hear somebody argue for doing something about chronic disease.”</t>
  </si>
  <si>
    <t>KTLM-TV (McAllen, TX)</t>
  </si>
  <si>
    <t>KCLU</t>
  </si>
  <si>
    <t>FDA Says Yogurt Makers Can Make ‘Qualified’ Claims About T2D Prevention</t>
  </si>
  <si>
    <t>Physician's Weekly</t>
  </si>
  <si>
    <t>Lake Geneva Regional News</t>
  </si>
  <si>
    <t>North Platte Telegraph</t>
  </si>
  <si>
    <t>WRMD-TV (Tampa, FL)</t>
  </si>
  <si>
    <t>Watertown Daily Times (Watertown, WI)</t>
  </si>
  <si>
    <t>The Goshen News</t>
  </si>
  <si>
    <t>Jasper Fitzhugh</t>
  </si>
  <si>
    <t>KNAU-FM (Flagstaff, AZ)</t>
  </si>
  <si>
    <t>The Saratogian</t>
  </si>
  <si>
    <t>Mount Sinai Beth Israel Hospital slated to close July 12</t>
  </si>
  <si>
    <t>Public News Service</t>
  </si>
  <si>
    <t>Marion Nestle, professor of nutrition and food studies at New York University, said when people buy just a pint rather than a quart or more, cost is another big factor.
"You can easily spend $5 on an ice cream cone," Nestle observed. "I can remember when it was a nickel.</t>
  </si>
  <si>
    <t>CA filmmaker follows her parents as they choose medical aid in dying</t>
  </si>
  <si>
    <t>Will summer heat melt New Mexicans' cravings for ice cream?</t>
  </si>
  <si>
    <t>Filmmaker documents parents' last moments as they use medical aid in dying</t>
  </si>
  <si>
    <t>Summer safety tips for CT people with dementia, Alzheimer’s</t>
  </si>
  <si>
    <t>Cineasta documenta a los padres mientras utilizan la ayuda m dica para morir</t>
  </si>
  <si>
    <t>Cineasta de CA sigue a sus padres mientras eligen ayuda m dica para morir</t>
  </si>
  <si>
    <t>Brain health experts seek solutions for Alzheimer's crisis in Georgia</t>
  </si>
  <si>
    <t>Northern Public Radio</t>
  </si>
  <si>
    <t>Who can say it’s healthy? The FDA has a new definition for food labels</t>
  </si>
  <si>
    <t>WBHM-FM (Birmingham, AL)</t>
  </si>
  <si>
    <t>KUNM-FM (Albuquerque, NM)</t>
  </si>
  <si>
    <t>Blogarama</t>
  </si>
  <si>
    <t>Are These 10 Foods Healthy for You? Think Again</t>
  </si>
  <si>
    <t>Marion Nestle, a professor of nutrition at New York University, advise limiting intake of diet sodas due to their potential to maintain a sweet tooth and contribute to poor dietary habits. These findings highlight the importance of choosing natural, healthier beverage options.
9.</t>
  </si>
  <si>
    <t>7 Alarming Truths the Food Industry Hides About Ultra-Processed Foods</t>
  </si>
  <si>
    <t>The food industry’s influence extends beyond product formulation to the realm of scientific research, as explored in Marion Nestle’s “Unsavory Truth.” Food companies often fund studies and research initiatives to shape the scientific narrative around ultra-processed foods (UPFs).</t>
  </si>
  <si>
    <t>Beware: Yogurt May Contain as Much Sugar as 5 Cookies | Lifestyle</t>
  </si>
  <si>
    <t>“Yogurt seems to have pulled off a marketing miracle, as a fast-selling dessert, hiding behind a health halo,” adds Marion Nestle, a professor of nutrition at New York University.</t>
  </si>
  <si>
    <t>Selling Crap to Kids, Part 10</t>
  </si>
  <si>
    <t>Journalist Anahad O’Connor reported,
“This comes right out of the tobacco industry’s playbook: cast doubt on the science,” said Marion Nestle, a professor of nutrition, food studies and public health at New York University who studies conflicts of interest in nutrition research.</t>
  </si>
  <si>
    <t>WKAR-TV (East Lansing, MI)</t>
  </si>
  <si>
    <t>Big trouble</t>
  </si>
  <si>
    <t>Craig Medred - A Home for Readers and Thinkers</t>
  </si>
  <si>
    <t>After an Alaska Seafood Marketing Institute (ASMI) “press” trip to Sand Point in 2010, Marion Nestle, the author of Food Politics wrote this:
“The men and women doing this work are mostly seasonal workers from the Philippines. </t>
  </si>
  <si>
    <t>Martinsville Bulletin</t>
  </si>
  <si>
    <t>Estes Park Trail-Gazette</t>
  </si>
  <si>
    <t>Star-Herald</t>
  </si>
  <si>
    <t>Chiapas Paralelo</t>
  </si>
  <si>
    <t>KXTX-TV (Fort Worth, TX)</t>
  </si>
  <si>
    <t>Times Herald (Norristown, PA)</t>
  </si>
  <si>
    <t>Cardinal &amp; Pine</t>
  </si>
  <si>
    <t>KUNR-FM (Reno, NV)</t>
  </si>
  <si>
    <t>Nourishing Change: Katherine Boulud's Culinary Crusade with Spoons Across America</t>
  </si>
  <si>
    <t>Resident Magazine</t>
  </si>
  <si>
    <t>We plan to honor Marion Nestle who is the professor emeritus at NYU and has also written countless books on the current food situation in America and what is defining healthy food. </t>
  </si>
  <si>
    <t>Cecil Whig</t>
  </si>
  <si>
    <t>Radio Huancavilca</t>
  </si>
  <si>
    <t>How Big Food is Making You Fat &amp; Sick with Nutrition Legend Marion Nestle</t>
  </si>
  <si>
    <t>Switch4Good</t>
  </si>
  <si>
    <t>Marion Nestle. She’s a Paulette Goddard Professor in the Department of Nutrition, Food Studies and Public Health at New York University and founder of the field of food studies. … Resources:
Bulletproof coffee review: https://switch4good.org/press_releases/new-review-shoots-holes-in-bulletproof-coffees-health-claims/
Marion Nestle’s Food Politics blog: Food Politics
Her books: Marion Nestle: books, biography, latest update
Twitter/X: Marion Nestle (@marionnestle) / X
Instagram</t>
  </si>
  <si>
    <t>FDA: Yogurts can claim that the food reduces risk of type 2 diabetes</t>
  </si>
  <si>
    <t>Temple Daily Telegram</t>
  </si>
  <si>
    <t>The Miami Times</t>
  </si>
  <si>
    <t>Kearney Hub</t>
  </si>
  <si>
    <t>The 'Gander Newsroom</t>
  </si>
  <si>
    <t>Herald-Whig</t>
  </si>
  <si>
    <t>KWGS-FM (Tulsa, OK)</t>
  </si>
  <si>
    <t>Albany Democrat-Herald</t>
  </si>
  <si>
    <t>Yankton Daily Press &amp; Dakotan</t>
  </si>
  <si>
    <t>Morganton News Herald</t>
  </si>
  <si>
    <t>Yogurts can make limited claim that the food reduces risk of type 2 diabetes, FDA says - Bay to Bay News</t>
  </si>
  <si>
    <t>Sussex County Post</t>
  </si>
  <si>
    <t>Alt-right meatless myths: Whoppers grow knockers</t>
  </si>
  <si>
    <t>Q News</t>
  </si>
  <si>
    <t>one of Australia’s foremost scientific brains — well actually, the guy in the office down the corridor who knows how the coffee machine works — and he replied, “Bullshit.” (0% bull, 100% shit)
But then I checked out an article in the Washington Post in which New York University nutrition professor Marion … Nestle pointed out, “Asians have been eating soy products for millennia and don’t seem to be any the worse for it… No, they don’t grow breasts.”</t>
  </si>
  <si>
    <t>¿Los edulcorantes artificiales son más seguros que el azúcar?</t>
  </si>
  <si>
    <t>Lado Mx</t>
  </si>
  <si>
    <t>Pero para resolver por completo estas cuestiones de causa y efecto, los científicos tendrían que diseñar estudios que midieran directamente cómo afectan los sustitutos del azúcar a la salud humana a largo plazo, señaló Marion Nestle, profesora emérita de Nutrición, Estudios Alimentarios y Salud Pública</t>
  </si>
  <si>
    <t>No podían mentir, no podían hacer trampas, no podían hacer nada excepto comer lo que se les daba", dijo la bióloga molecular y científica de la nutrición Marion Nestle, que es la profesora emérita Paulette Goddard de Nutrición, Estudios Alimentarios y Salud Pública en la Universidad de Nueva York.</t>
  </si>
  <si>
    <t xml:space="preserve">El plan de Robert F. Kennedy Jr. para hacer </t>
  </si>
  <si>
    <t>corporativo, eliminar los conflictos de intereses entre la industria y el gobierno, sacar los productos químicos tóxicos del suministro de alimentos y hacer todo lo posible para reorientar el entorno alimentario y los consejos dietéticos hacia la salud", escribió la investigadora en política alimentaria Marion … Nestle en su blog Food Politics.</t>
  </si>
  <si>
    <t>Por qué una mejor dieta para usted también es buena para el planeta</t>
  </si>
  <si>
    <t>Marion Nestle, profesora emérita de nutrición, estudios alimentarios y salud pública en la Universidad de Nueva York, afirmó que el gobierno federal debería adoptar políticas alimentarias para promover dietas que no sólo sean nutritivas, sino también sostenibles.</t>
  </si>
  <si>
    <t>Los fabricantes de yogur pueden hacer afirmaciones limitadas sobre la prevención de la diabetes tipo 2: FDA</t>
  </si>
  <si>
    <t>La experta en políticas alimentarias Marion Nestle dijo a The Associated Press que las afirmaciones de propiedades saludables calificadas son "ridículas a primera vista".
"Traducción: si quieres creer esto, adelante, pero no es sobre la base de la evidencia", agregó.</t>
  </si>
  <si>
    <t>6 términos engañosos en las etiquetas de los alimentos y su significado real</t>
  </si>
  <si>
    <t>Profesionales como Marion Nestle, docente de Nutrición y Estudios Alimentarios de la Universidad de Nueva York, advierten que muchas técnicas de mercadeo buscan influir en la decisión del consumidor mediante el uso de etiquetas confusas o engañosas.</t>
  </si>
  <si>
    <t>Padres piden eliminar Lunchables de escuelas en EEUU por altos niveles de sodio y plomo</t>
  </si>
  <si>
    <t>“Los Lunchables son comida basura ultraprocesada para niños”, dijo Marion Nestle, profesora jubilada de nutrición, estudios alimentarios y salud pública de la Universidad de Nueva York. “No entiendo por qué alguien piensa que son apropiados para los almuerzos escolares.</t>
  </si>
  <si>
    <t>The Union Democrat</t>
  </si>
  <si>
    <t>FDA Allows 'Qualified' Diabetes Risk Claims on Yogurt</t>
  </si>
  <si>
    <t>Food Manufacturing</t>
  </si>
  <si>
    <t>KTVE/KARD-TV (West Monroe, LA)</t>
  </si>
  <si>
    <t>CDC to vaccinate livestock workers for seasonal flu in bird flu campaign </t>
  </si>
  <si>
    <t>Tri-State Livestock News</t>
  </si>
  <si>
    <t>Dothan Eagle</t>
  </si>
  <si>
    <t>More Beans and Less Red Meat: Nutrition Experts Weigh in on U.S. Dietary Guidelines</t>
  </si>
  <si>
    <t>Nutrition Advisory Panel Calls for More Beans, Less Red Meat in U.S. Dietary Guidelines</t>
  </si>
  <si>
    <t>WLIW-FM (Southampton, NY)</t>
  </si>
  <si>
    <t>La Verdad Juarez</t>
  </si>
  <si>
    <t>WWNO-FM (New Orleans, LA)</t>
  </si>
  <si>
    <t>RFK Jr Appointment Leaves Doctors Aghast: ‘Extraordinarily Bad Choice’</t>
  </si>
  <si>
    <t>The Herald-Sun (Durham, NC)</t>
  </si>
  <si>
    <t>"If the right wing wants to make America healthy again, I think that's fantastic," Marion Nestle, a nutrition professor emerita at New York University, told the Wall Street Journal.
2024 NEWSWEEK DIGITAL LLC.
This story was originally published November 15, 2024, 5:53 AM.</t>
  </si>
  <si>
    <t>Fighting the Bliss Point Formula</t>
  </si>
  <si>
    <t>Marion Nestle is a molecular biologist and nutrition scientist and the Paulette Goddard Professor of Nutrition, Food Studies and Public Health, Emerita at New York University.</t>
  </si>
  <si>
    <t>Critics say studies already are clear: Food that is "irresistibly delicious that can't be made in home kitchens," as nutritionist Marion Nestle puts it, leads to excess calorie consumption and high obesity rates.</t>
  </si>
  <si>
    <t>Imperial Valley Press</t>
  </si>
  <si>
    <t>A indústria de ultraprocessados tem solução? Caso da Nestlé mostra que não</t>
  </si>
  <si>
    <t>eDairy News</t>
  </si>
  <si>
    <t>O Guia Alimentar para a População Brasileira, lançado em 2014, foi chamado por Marion Nestle, professora emérita da Universidade de Nova York, e estrela na luta por alimentação saudável, como “o melhor do mundo”.</t>
  </si>
  <si>
    <t>'Food, Inc. 2' revisits food system, sees reason for frustration and a little hope</t>
  </si>
  <si>
    <t>'Food, Inc. 2' revisits food system, sees reason for frustration and (a little) hope</t>
  </si>
  <si>
    <t>30-year study: Ultraprocessed foods increase risk of death by any cause</t>
  </si>
  <si>
    <t>Marion Nestle, Paulette Goddard professor emerita of nutrition, food studies and public health at New York University, told CNN.</t>
  </si>
  <si>
    <t>Culpeper Star-Exponent</t>
  </si>
  <si>
    <t>WYSO-FM (Dayton, OH)</t>
  </si>
  <si>
    <t>Standard Speaker</t>
  </si>
  <si>
    <t>GFI Joins the Conversation as NYC Hosts Climate Week</t>
  </si>
  <si>
    <t>George Washington Today</t>
  </si>
  <si>
    <t>that people in the restaurant industry already know, making it a way “to put research into the hands of restaurant owners and chefs to help empower their advocacy,” Dean told the audience as part of a livestreamed lineup that also included journalist and author Mark Bittman and public health advocate Marion … Nestle.</t>
  </si>
  <si>
    <t>More beans and less red meat</t>
  </si>
  <si>
    <t>Adirondack Daily Enterprise</t>
  </si>
  <si>
    <t>THE BALANCED LIFE | Living to 100</t>
  </si>
  <si>
    <t>PelhamToday</t>
  </si>
  <si>
    <t>In his search for why, he interviews Marion Nestle, Professor of Food Studies and Public Health, New York University.
“In the early 1970s,” Nestle explains, “the Secretary of Agriculture said we need to produce more food to feed the world.</t>
  </si>
  <si>
    <t>Canon City Daily Record</t>
  </si>
  <si>
    <t>Beatrice Daily Sun</t>
  </si>
  <si>
    <t>Lee News Central</t>
  </si>
  <si>
    <t>“The food industry ought to be quaking in its boots, but they don’t think it’s going to happen,” Marion Nestle, a leading authority on nutrition and food policy at New York University, said in an interview last week with CNN.</t>
  </si>
  <si>
    <t>RFK Jr.’s to-do list to make America ‘healthy’ has health experts worried</t>
  </si>
  <si>
    <t>New England Public Media</t>
  </si>
  <si>
    <t>WSKG-TV (Vestal, NY)</t>
  </si>
  <si>
    <t>WTMO-TV (Orlando, FL)</t>
  </si>
  <si>
    <t>Herald &amp; Review</t>
  </si>
  <si>
    <t>Porterville Recorder</t>
  </si>
  <si>
    <t>Blue Ridge Public Radio</t>
  </si>
  <si>
    <t>WWTI-TV (Watertown, NY)</t>
  </si>
  <si>
    <t>Marion Nestle, a food policy expert, said qualified health claims based on limited evidence are “ridiculous on their face.”
___
The Associated Press Health and Science Department receives support from the Howard Hughes Medical Institute’s Science and Educational Media Group.</t>
  </si>
  <si>
    <t>What alarms health experts most about RFK Jr. is what he’s leaving out of his health policy proposals</t>
  </si>
  <si>
    <t>You may be eating predigested food. Here’s why</t>
  </si>
  <si>
    <t>Marion Nestle told CNN Medical Correspondent Meg Tirrell on the Chasing Life podcast recently. Nestle is the Paulette Goddard Professor of nutrition, food studies and public health, emerita, at New York University.
Listen to more of the conversation between Nestle and Tirrell here.</t>
  </si>
  <si>
    <t>The Copper Courier</t>
  </si>
  <si>
    <t>Divulgar la agroalimentación en redes sociales: del marketing del miedo al sentido común</t>
  </si>
  <si>
    <t>EFEagro</t>
  </si>
  <si>
    <t>Un aspecto en el que coincide la profesora e investigadora norteamericana Marion Nestlé, quien consultada por Efeagro insiste en que sus opiniones personales las etiqueta "como comentarios" y su diálogo on line (con 140.000 seguidores en X y su blog foodpolitics.com) es "estrictamente profesional y relacionado</t>
  </si>
  <si>
    <t>The Journal (Cortez, CO)</t>
  </si>
  <si>
    <t>Ravalli Republic</t>
  </si>
  <si>
    <t>The Well News</t>
  </si>
  <si>
    <t>Gettysburg Times</t>
  </si>
  <si>
    <t>The Greenwood Commonwealth</t>
  </si>
  <si>
    <t>Huntsville Item</t>
  </si>
  <si>
    <t>Jefferson Public Radio</t>
  </si>
  <si>
    <t>A Diet High in Fruits and Vegetables May Reduce Your Heart and Kidney Disease Risk, Study</t>
  </si>
  <si>
    <t>ReachMD</t>
  </si>
  <si>
    <t>Florence Morning News</t>
  </si>
  <si>
    <t>To Solve Climate Change, Chefs and Farmers Must Lead The Way</t>
  </si>
  <si>
    <t>Food Tank</t>
  </si>
  <si>
    <t>Important decisions that impact food are made at all levels of government, says Marion Nestle, Professor Emerita of Nutrition, Food Studies, and Public Health at New York University. And if your elected officials don’t represent your values, she said, get involved and change the situation.</t>
  </si>
  <si>
    <t>Food Equity and Health Are Inseparable From Climate Action</t>
  </si>
  <si>
    <t>“We have an election between now and the (release of the) 2025 Dietary Guidelines for Americans, so that’ll determine how those come out,” says Marion Nestle, Professor Emerita of Nutrition, Food Studies, and Public Health at New York University.</t>
  </si>
  <si>
    <t>From Climate Week NYC To Rwanda To Azerbaijan, We Need To Keep Putting Pressure On Food and Climate Solutions</t>
  </si>
  <si>
    <t>This is why I’m excited about the cross-section of speakers who will be joining us this month for Climate Week NYC, from chefs like Alice Waters and Andrew Zimmern, to writers like Mark Bittman and Bill McKibben, to policy experts like John Kerry and Marion Nestle, to farmers and actors and corporate</t>
  </si>
  <si>
    <t>The Commercial Dispatch</t>
  </si>
  <si>
    <t>Post Register</t>
  </si>
  <si>
    <t>AP News in Brief at 11:04 p.m. EST</t>
  </si>
  <si>
    <t>KALW-FM (San Francisco, CA)</t>
  </si>
  <si>
    <t>KAPP-TV /  KVEW-TV (Yakima, WA)</t>
  </si>
  <si>
    <t>KUNC-FM (Greeley, CO)</t>
  </si>
  <si>
    <t>Lakeland Today</t>
  </si>
  <si>
    <t>The Herald Bulletin</t>
  </si>
  <si>
    <t>The Journal Record</t>
  </si>
  <si>
    <t>WPHL-TV (Philadelphia, PA)</t>
  </si>
  <si>
    <t>Studimi: Ushqimet ultra të përpunuara lidhen me vdekjen e hershme. Produktet që duhet të shmangni</t>
  </si>
  <si>
    <t>rtsh.al</t>
  </si>
  <si>
    <t>Marion Nestle, profesoreshë e njohur e të ushqyerit, studimeve ushqimore dhe shëndetit publik në Universitetin e Nju Jorkut.
A duhet të heqim shmangim të gjitha ushqimet  ultra të përpunuara?</t>
  </si>
  <si>
    <t>UpNorthNews</t>
  </si>
  <si>
    <t>The Index-Journal</t>
  </si>
  <si>
    <t>WVIA-TV (Pittston, PA)</t>
  </si>
  <si>
    <t>Conroe Courier</t>
  </si>
  <si>
    <t>Article continues below this ad
Marion Nestle, a food policy expert, said qualified health claims based on limited evidence are “ridiculous on their face.”</t>
  </si>
  <si>
    <t>WSHU Public Radio</t>
  </si>
  <si>
    <t>US yogurts can make limited claim that the food reduces risk of type 2 diabetes, FDA says</t>
  </si>
  <si>
    <t>The Sentinel-Record</t>
  </si>
  <si>
    <t>WFSU</t>
  </si>
  <si>
    <t>Le pouvoir tentaculaire du lobby agricole mondial</t>
  </si>
  <si>
    <t>Le Nouvel Economiste</t>
  </si>
  <si>
    <t>“Il suffit de dire que les études n’ont pas duré assez longtemps, qu’elles n’ont pas porté sur le bon nombre de personnes et qu’elles ont abouti à des résultats peu concluants”, déclare Marion Nestle, professeur de nutrition, études alimentaires et santé publique à l’université de New York.</t>
  </si>
  <si>
    <t>Rogue Valley Times</t>
  </si>
  <si>
    <t>The News-Review</t>
  </si>
  <si>
    <t>West Hawaii Today</t>
  </si>
  <si>
    <t>Some Clarity, From Leading Voices in Food</t>
  </si>
  <si>
    <t>The Bittman Project</t>
  </si>
  <si>
    <t>Marion Nestle, Paulette Goddard professor of nutrition, food studies, and public health emerita, New York University
I wish I had a crystal ball to say how food and agriculture issues would play out over the next four years, but all I have to go on is what Trump and his followers say.</t>
  </si>
  <si>
    <t>Descubrí cuáles son los 6 términos engañosos en las etiquetas de los alimentos y su significado real</t>
  </si>
  <si>
    <t>Noticias del Seis</t>
  </si>
  <si>
    <t>Profesionales como Marion Nestle, docente de Nutrición y Estudios Alimentarios de la Universidad de Nueva York, advierten que muchas técnicas de mercadeo buscan influir en la decisión del consumidor mediante el uso de etiquetas confusas o engañosas.</t>
  </si>
  <si>
    <t>Morning Ag Clips</t>
  </si>
  <si>
    <t>. — Marion Nestle, a food policy expert and public health advocate, will share her experience bridging research, policy and public engagement in a talk, “Food Politics: An Agenda for 2024.”</t>
  </si>
  <si>
    <t>Yogurts Can Make Limited Claim That the Food Reduces Risk of Type 2 Diabetes, FDA Says</t>
  </si>
  <si>
    <t>The Tribune (Seymour, IN)</t>
  </si>
  <si>
    <t>KNPR-FM (Las Vegas, NV)</t>
  </si>
  <si>
    <t>Rolling Back the Diet in Project 2025 Would Limit the Fight Against Ultra-processed Foods | US Elections 2024</t>
  </si>
  <si>
    <t>Paperblog English</t>
  </si>
  <si>
    <t>"This is a deregulatory agenda," said Marion Nestle, a professor of nutrition and food policy at New York University. "And what we know historically about deregulation is that it's very bad for consumers, it's bad for workers and it's bad for the environment."</t>
  </si>
  <si>
    <t>WHRO-TV (Norfolk, VA)</t>
  </si>
  <si>
    <t>The Jonesboro Sun</t>
  </si>
  <si>
    <t>WOKV-FM (Jacksonville, FL)</t>
  </si>
  <si>
    <t>Odessa American</t>
  </si>
  <si>
    <t>Elko Daily Free Press</t>
  </si>
  <si>
    <t>Opelika-Auburn News</t>
  </si>
  <si>
    <t>TriCityRecordNM</t>
  </si>
  <si>
    <t>More beans and less red meat: Nutritionists weigh in on U.S. dietary guidelines</t>
  </si>
  <si>
    <t>The Sumter Item</t>
  </si>
  <si>
    <t>The Canadian Press</t>
  </si>
  <si>
    <t>WVTF-FM (Roanoke, VA)</t>
  </si>
  <si>
    <t>“Sekreti” i dietës që mund të zvogëlojë rrezikun e sëmundjeve të zemrës dhe veshkave</t>
  </si>
  <si>
    <t>Portals Durreslajm</t>
  </si>
  <si>
    <t>FDA permits yogurt diabetes risk-reduction claim</t>
  </si>
  <si>
    <t>Farming Falmouth To Screen "Food Inc. 2"</t>
  </si>
  <si>
    <t>The Enterprise News</t>
  </si>
  <si>
    <t>“Food Politics” author Marion Nestle also will speak.
The film follows up on the Oscar-nominated 2008 documentary "Food, Inc.," which took a hard look at how food is produced in the US.</t>
  </si>
  <si>
    <t>Metro World News (Colombia)</t>
  </si>
  <si>
    <t>Brandon Sun</t>
  </si>
  <si>
    <t>Making It Grow</t>
  </si>
  <si>
    <t>Welland Tribune</t>
  </si>
  <si>
    <t>Mid Florida Newspapers</t>
  </si>
  <si>
    <t>The Times and Democrat</t>
  </si>
  <si>
    <t>People are also reading…
Overall, the recommendations for the 2025-2030 Dietary Guidelines for Americans sound familiar, said Marion Nestle, a food policy expert.</t>
  </si>
  <si>
    <t>CompuServe</t>
  </si>
  <si>
    <t>FDA Approves Qualified Health Claim Linking Yogurt Consumption to Reduced Risk of Type 2 Diabetes Amid Skepticism</t>
  </si>
  <si>
    <t>DairyNews</t>
  </si>
  <si>
    <t>Critics, including organizations like the Center for Science in the Public Interest and experts like Marion Nestle, have expressed concerns about the claim. They argue that no single food can definitively reduce the risk of a disease that is influenced by overall diet and lifestyle.</t>
  </si>
  <si>
    <t>WNEU-TV (Boston, MA)</t>
  </si>
  <si>
    <t>WZDC-TV (Washington, DC)</t>
  </si>
  <si>
    <t>Yogurts can make limited claim that the food reduces risk of type 2 diabetes, FDA says – Metro US</t>
  </si>
  <si>
    <t>Metro.us</t>
  </si>
  <si>
    <t>Can yogurt reduce the risk of Type 2 diabetes? – Metro US</t>
  </si>
  <si>
    <t>Nutrition Experts Say Americans Need To Eat More Beans And Less Red Meat</t>
  </si>
  <si>
    <t>Salem News Channel</t>
  </si>
  <si>
    <t>Register Citizen</t>
  </si>
  <si>
    <t>The Atlanta Voice</t>
  </si>
  <si>
    <t>Marion Nestle, the Paulette Goddard Professor Emerita of Nutrition, Food Studies and Public Health at New York University. She was not involved in the research.
“We’ve known this for a long time but it’s good to have less kidney disease added to the benefits,” she said.</t>
  </si>
  <si>
    <t>Why experts say there's "no such thing" as healthy chocolate, and $20 "raw" and extra-dark varieties are just as bad as Hershey's</t>
  </si>
  <si>
    <t>Marion Nestle, professor emerita at New York University and nutritionist, told DailyMail.com that there is so little of this nutrient in the bars that someone would have to eat “immoderate” amounts to get enough.</t>
  </si>
  <si>
    <t>Sentinel and Enterprise</t>
  </si>
  <si>
    <t>More Beans, Less Red Meat: Nutrition Experts Weigh in on Dietary Guidelines</t>
  </si>
  <si>
    <t>Farms.com</t>
  </si>
  <si>
    <t>The Pioneer (Big Rapids, MI)</t>
  </si>
  <si>
    <t>Beyond sugar, salt, fat: Rethinking ultra-processed foods and reform</t>
  </si>
  <si>
    <t>FoodNavigator-USA</t>
  </si>
  <si>
    <t>more than 1,600 studies of the health effects of ultra-processed foods, and these studies universally, across the board come out with the same kind of results,” including greater weight gain, more type 2 diabetes, heart disease, certain cancers and earlier mortality, nutrition and public policy expert Marion … Nestle explained in an episode​ of Chicago Booth Review.</t>
  </si>
  <si>
    <t>Kentucky Today</t>
  </si>
  <si>
    <t>Manistee News Advocate</t>
  </si>
  <si>
    <t>Sin Mordaza Santa Fe</t>
  </si>
  <si>
    <t>More beans, less red meat: Nutrition experts weigh in on US dietary guidelines</t>
  </si>
  <si>
    <t>Montana Standard</t>
  </si>
  <si>
    <t>Idaho Matters</t>
  </si>
  <si>
    <t>Kennedy Pushes MAHA, but Does the Movement Promote Health or Trump?</t>
  </si>
  <si>
    <t>Civil Eats</t>
  </si>
  <si>
    <t>“It will get worse,” Marion Nestle said, if Trump gets into office. “We already know that, because we just had four years of that.”
(Disclosure: Held worked at Well+Good as a reporter and editor from 2010 – 2016, where Gelula was her boss.)
No-Spray Zone.</t>
  </si>
  <si>
    <t>Star Beacon</t>
  </si>
  <si>
    <t>USDA regulates salmonella in chicken product</t>
  </si>
  <si>
    <t>Ingredients Network</t>
  </si>
  <si>
    <t>“USDA is at long last taking a first step toward declaring salmonella an adulterant on poultry products,” said Marion Nestle, molecular biologist, nutritionist, and founder of the Food Politics blog, in a post on the recently finalised policy.</t>
  </si>
  <si>
    <t>The Reporter (Vacaville, CA)</t>
  </si>
  <si>
    <t>Times-News (Idaho)</t>
  </si>
  <si>
    <t>DGAC submits scientific report, receives mixed reviews from industry</t>
  </si>
  <si>
    <t>The report is “highly conservative and a missed opportunity” for its “glaring omissions” on balancing calories and reducing consumption of UPFs, said Marion Nestle, Paulette Goddard Professor of Nutrition, Food Studies and Public Health, Emerita, New York University.</t>
  </si>
  <si>
    <t>Improving Equitable Access to Federal Nutrition Support Programs</t>
  </si>
  <si>
    <t>mathematica.org</t>
  </si>
  <si>
    <t>Jennifer Ng'andu, Robert Wood Johnson Foundation
Marion Nestle, New York University
Yuka Asada, University of Illinois-Chicago (Moderator)
Carolyn Barnes, University of Chicago
Sheila Fleischhacker, United States Department of Agriculture
Ivan Zacarias, Valle del Sol Community Health</t>
  </si>
  <si>
    <t>The Register-Herald</t>
  </si>
  <si>
    <t>Rótulo orgânico não tem o mesmo significado de antes: especialista</t>
  </si>
  <si>
    <t>Epoch Times Brasil</t>
  </si>
  <si>
    <t>Marion Nestle, ex-professora de nutrição, estudos alimentares e saúde pública na Universidade de Nova Iorque e ex-conselheira sênior de política nutricional do Departamento de Saúde e Serviços Humanos, disse ao Epoch Times que o significado original de orgânico se assemelha mais ao que muitos rotulam</t>
  </si>
  <si>
    <t>A fome de clareza quando o assunto é nutrição</t>
  </si>
  <si>
    <t>Marion Nestle, professora emérita de nutrição, estudos alimentares e saúde pública na Universidade de Nova York e autora premiada, disse ao Epoch Times que a nutrição é confusa porque as pessoas comem dietas extremamente complicadas.</t>
  </si>
  <si>
    <t>The Daily Star</t>
  </si>
  <si>
    <t>Santa Maria Times</t>
  </si>
  <si>
    <t>Niagara Gazette</t>
  </si>
  <si>
    <t>The Reporter (Lansdale, PA)</t>
  </si>
  <si>
    <t>The Daily Independent (Ashland, KY)</t>
  </si>
  <si>
    <t>del marketing del miedo al sentido común</t>
  </si>
  <si>
    <t>Food Retail &amp; Shoppers</t>
  </si>
  <si>
    <t>En este aspecto coincide con la profesora e investigadora norteamericana Marion Nestlé.</t>
  </si>
  <si>
    <t>KLCC-FM (Eugene, OR)</t>
  </si>
  <si>
    <t>l'exemple d'Oreo</t>
  </si>
  <si>
    <t>Netcost</t>
  </si>
  <si>
    <t>Comme l’a expliqué Marion Nestle, professeur de nutrition, d’études alimentaires et de santé publique à l’Université de New York, « il y a encore beaucoup besoin de dégustateurs humains. »</t>
  </si>
  <si>
    <t>Bristol Herald Courier</t>
  </si>
  <si>
    <t>Daily Democrat</t>
  </si>
  <si>
    <t>Traverse City Record-Eagle</t>
  </si>
  <si>
    <t>Nutrition experts weigh in  on US dietary guidelines</t>
  </si>
  <si>
    <t>Iron Mountain Daily News</t>
  </si>
  <si>
    <t>EstamosAquí MX</t>
  </si>
  <si>
    <t>South Dakota Public Broadcasting</t>
  </si>
  <si>
    <t>Wyoming Public Radio</t>
  </si>
  <si>
    <t>KMOL-TV (Victoria, TX)</t>
  </si>
  <si>
    <t>Mahoning Matters</t>
  </si>
  <si>
    <t>"If the right wing wants to make America healthy again, I think that's fantastic," Marion Nestle, a nutrition professor emerita at New York University, told the Wall Street Journal.
Related Articles
RFK Jr.'</t>
  </si>
  <si>
    <t>Impossible Meat Recall Sparks Warning in 8 States</t>
  </si>
  <si>
    <t>Marion Nestle, a professor of food studies and public health at New York University, previously told Newsweek, "The issue with food safety is not only down to regulations, but workplace culture."
"We have pretty good regulations in place," Nestle added.</t>
  </si>
  <si>
    <t>Nominative determinism went wrong here then</t>
  </si>
  <si>
    <t>Tim Worstall Blog</t>
  </si>
  <si>
    <t>Vallejo Times-Herald</t>
  </si>
  <si>
    <t>The Morning Sun</t>
  </si>
  <si>
    <t>The Biden Administration Says Its Trade Policy Puts People Over Corporations. Documents on Baby Formula Show Otherwise.</t>
  </si>
  <si>
    <t>ScheerPost</t>
  </si>
  <si>
    <t>Merit Street Media</t>
  </si>
  <si>
    <t>The Journal Gazette</t>
  </si>
  <si>
    <t>NPR Illinois</t>
  </si>
  <si>
    <t>La liste de choses à faire de RFK Jr. pour rendre l'Amérique " en bonne santé "</t>
  </si>
  <si>
    <t>News Day FR</t>
  </si>
  <si>
    <t>d'intérêts entre l'industrie et le gouvernement, à éliminer les produits chimiques toxiques de l'approvisionnement alimentaire et à faire tout leur possible pour recentrer l'alimentation. l'environnement alimentaire et les conseils diététiques sur la santé ", a écrit la chercheuse en politiques alimentaires Marion … Nestle sur son blog Food Politics.</t>
  </si>
  <si>
    <t>Les effets des aliments ultra-transformÃ©s</t>
  </si>
  <si>
    <t>Selon Marion Nestlé, nutritionniste émérite à l'Université de New York, " si une cuisine normale ne peut pas produire un aliment, cela signifie qu'il est ultra-transformé ".</t>
  </si>
  <si>
    <t>You may be eating predigested food. Here's why</t>
  </si>
  <si>
    <t>KTEN-TV (Denison, TX)</t>
  </si>
  <si>
    <t>WVUA-TV (Tuscaloosa, AL)</t>
  </si>
  <si>
    <t>The economic fallout of Ozempic-and how it impacts docs</t>
  </si>
  <si>
    <t>M3 India</t>
  </si>
  <si>
    <t>The emergence of semaglutide drugs, such as Ozempic, is the “first big breakthrough besides bariatric surgery that has offered people with obesity real help,” according to Marion Nestle, MPH, PhD, Paulette Goddard Professor of Nutrition, Food Studies, and Public Health, Emerita, at New York University</t>
  </si>
  <si>
    <t>Montana Public Radio (Missoula, MT)</t>
  </si>
  <si>
    <t>More beans, less red meat: Nutrition experts weigh in on dietary guidelines</t>
  </si>
  <si>
    <t>Health News Florida</t>
  </si>
  <si>
    <t>More Beans and Less Red Meat: Nutrition Experts Weigh in on US Dietary Guidelines</t>
  </si>
  <si>
    <t>The National Herald</t>
  </si>
  <si>
    <t>Rutland Herald</t>
  </si>
  <si>
    <t>Redlands Daily Facts</t>
  </si>
  <si>
    <t>Daily Local News</t>
  </si>
  <si>
    <t>Robert F Kennedy Jr. Is Trump’s Choice to Lead DHHS: Can He Make America Healthy Again?</t>
  </si>
  <si>
    <t>IssueWire</t>
  </si>
  <si>
    <t>“What he's suggesting is taking on the food industry,” commented former New York University nutrition professor Marion Nestle. “Will Trump back him up on that? I’ll believe it when I see it.”</t>
  </si>
  <si>
    <t>The Case for Beef</t>
  </si>
  <si>
    <t>Chelsea Green</t>
  </si>
  <si>
    <t>New York University nutrition professor Marion Nestle notes: “Clinical trials rarely show much benefit from taking [nutritional] supplements and . . . sometimes they show harm.”6
I was fortunate to have gotten off to a solid start.</t>
  </si>
  <si>
    <t xml:space="preserve">Cinco fatos sobre alimentos ultraprocessados que você deve saber
</t>
  </si>
  <si>
    <t>rondonoticias.com.br</t>
  </si>
  <si>
    <t>“Minha definição operacional para alimentos ultraprocessados é que você não consegue fazê-los na sua cozinha de casa porque não tem os equipamentos e não tem os ingredientes”, diz a especialista em políticas alimentares, Marion Nestle, à correspondente médica da CNN, Meg Tirrell, recentemente, no podcast</t>
  </si>
  <si>
    <t>The News &amp; Advance</t>
  </si>
  <si>
    <t>Grand Island Independent</t>
  </si>
  <si>
    <t>Εννέα tips για να διακρίνετε τα υπερεπεξεργασμένα τρόφιμα</t>
  </si>
  <si>
    <t>karfitsa.gr</t>
  </si>
  <si>
    <t>Οι μεγάλες συσκευασίες έχουν σχεδιαστεί για να σας κάνουν να τρώτε υπερβολικά, λέει η Marion Nestle, καθηγήτρια στο Πανεπιστήμιο της Νέας Υόρκης και συγγραφέας του «Soda Politics». «Αν δεν μπορείτε να σταματήσετε να τρώτε από μεγάλες συσκευασίες, μην τις αγοράζετε», πρόσθεσε.</t>
  </si>
  <si>
    <t>Nutritionist says you should always avoid the items placed next to supermarket checkouts</t>
  </si>
  <si>
    <t>The Focus</t>
  </si>
  <si>
    <t>Marion Nestle is passionate about false “health benefits” that are labelled on food product to encourage people to purchase them.</t>
  </si>
  <si>
    <t>'Superfoods aren't real' because they're just a 'marketing term', nutritionist says</t>
  </si>
  <si>
    <t>American molecular biologist and nutritionist Marion Nestle appeared on The Checkup podcast with Doctor Mike, speaking all about the corrupt world of the food industry and revealing the truth about “superfoods.”</t>
  </si>
  <si>
    <t>Presse Box</t>
  </si>
  <si>
    <t>WZVN-TV (Fort Myers, FL)</t>
  </si>
  <si>
    <t>More beans and less red meat: Nutritionists weigh in  on U.S. dietary guidelines</t>
  </si>
  <si>
    <t>The Parkersburg News and Sentinel</t>
  </si>
  <si>
    <t>Walla Walla Union-Bulletin</t>
  </si>
  <si>
    <t>What I Am Reading June 6th</t>
  </si>
  <si>
    <t>American Council on Science and Health</t>
  </si>
  <si>
    <t>“In 1995, when Marion Nestle was on the committee drafting the Dietary Guidelines for Americans, things were run differently.</t>
  </si>
  <si>
    <t>KNKX-FM (Tacoma, WA)</t>
  </si>
  <si>
    <t>The Norman Transcript</t>
  </si>
  <si>
    <t>El Tiempo Latino</t>
  </si>
  <si>
    <t>Yogurts can make limited claim that the food reduces risk of Type 2 diabetes</t>
  </si>
  <si>
    <t>New Westminster Record</t>
  </si>
  <si>
    <t>KADN-TV (Lafayette, LA)</t>
  </si>
  <si>
    <t>From added sugar to sodium, here's how US dietary recommendations have changed over the last 50 years - North Country Now</t>
  </si>
  <si>
    <t>North Country Now</t>
  </si>
  <si>
    <t>Whittier Daily News</t>
  </si>
  <si>
    <t>Het ene model deugde niet en het andere kon de echte ramp niet verklaren</t>
  </si>
  <si>
    <t>Foodlog.nl</t>
  </si>
  <si>
    <t>Volgens de bekende Amerikaanse voedingsdeskundige Marion Nestle zou ze als president vast wel iets aan gezonder en meer samen aan tafel eten hebben gedaan.</t>
  </si>
  <si>
    <t>Amerikaanse FDA zet eerste stappen tegen levensmiddelenindustrie  - Vooral onbewerkt voedsel houdt je gezond zegt de voedselautoriteit - Foodlog</t>
  </si>
  <si>
    <t>Zo noemt de bekende Amerikaanse voedingswetenschapper Marion Nestle op NPR de herziening "een stap in de goede richting" die met de de focus op onbewerkte voedingsmiddelen zoals fruit, groenten en noten consumenten kan helpen betere keuzes te maken.</t>
  </si>
  <si>
    <t>WBGH-CD/WIVT-TV  (Binghamton, NY)</t>
  </si>
  <si>
    <t>Joplin Globe</t>
  </si>
  <si>
    <t>MM+M</t>
  </si>
  <si>
    <t>Biden's baby formula trade policies put corporate interests ahead of public health</t>
  </si>
  <si>
    <t>Environmental Health News</t>
  </si>
  <si>
    <t>” 
— Marion Nestle, professor emerita of nutrition, food studies, and public health at New York University
Why this matters:
While the Biden administration's official line champions public welfare, the behind-the-scenes playbook seems to be tipping the scales in favor of the big players in the baby</t>
  </si>
  <si>
    <t>New Castle News</t>
  </si>
  <si>
    <t>Daily News-Record</t>
  </si>
  <si>
    <t>Loveland Reporter-Herald</t>
  </si>
  <si>
    <t>多伦多 六六网 www.66.ca -</t>
  </si>
  <si>
    <t>66.ca 多伦多六六网</t>
  </si>
  <si>
    <t>纽约大学营养学、食品研究和公共卫生的名誉教授玛丽安·内斯特尔(Marion Nestle)参与起草了这些指南。“90年代中期的证据似乎是无可辩驳的，不管你喜不喜欢。而且，那些关心酒精对社会影响的人并不喜欢这项研究。但他们当时找不到任何问题。所以，它就在那里；必须处理它。它进入了饮食指南。”
　　媒体也紧随其后。《纽约时报》的头版标题宣布：“美国改变态度，称酒精对健康有益。”当时的卫生助理秘书说：“我个人的看法是，适量饮酒与餐食一起是有益的。过去对饮酒有显著的偏见。从反酒精到健康益处是一个巨大的变化。”
　　医生们也在改变他们的论调。一位有影响力的酒精研究者，R.柯蒂斯·埃利森(R.</t>
  </si>
  <si>
    <t>还能安心吃鸡蛋鸡肉吗？ 禽流感常见6问题一次看</t>
  </si>
  <si>
    <t>答：还需要更多研究，但现在可以保持冷静，分子生物学家及公共卫生提倡者奈斯利（Marion Nestle）说，禽流感如何传染给人类需要更多研究，目前所知是并不容易，而预防措施也是那个原则：经常洗手，并确保洗干净。</t>
  </si>
  <si>
    <t>Auburn Citizen</t>
  </si>
  <si>
    <t>Northeast Mississippi Daily Journal</t>
  </si>
  <si>
    <t>Mason City Globe Gazette</t>
  </si>
  <si>
    <t>Iowa Public Radio</t>
  </si>
  <si>
    <t>Hickory Daily Record</t>
  </si>
  <si>
    <t>【プレミアム報道】新食事ガイドラインと健康改革 ケネディ氏の挑戦</t>
  </si>
  <si>
    <t>大紀元時報</t>
  </si>
  <si>
    <t>栄養政策の専門家ネスル（Marion Nestle）氏は、ガイドラインの最終決定がHHS（保健福祉省）と農務省の指導層にかかっているため、ケネディ氏が大きな影響力を持つと考えています。
同氏は大紀元に、「長官は共同委員会を任命して文書を作成します。また、議会も方向性に関与することができます」と語り、ケネディ氏は農務長官と連携してガイドラインの方向性を決定するだろうと述べました。
しかし、ネスル氏は、食品業界のロビー活動や、科学的証拠に対して過度に厳しい基準を求める動きが、改革を妨げていると指摘しています。また、未完成で進化中の科学に基づいて、政策を変更することの難しさにも言及しました。</t>
  </si>
  <si>
    <t>Wow Way</t>
  </si>
  <si>
    <t>Aspen Daily News</t>
  </si>
  <si>
    <t>The Bismarck Tribune</t>
  </si>
  <si>
    <t>More beans, less red meat</t>
  </si>
  <si>
    <t>KSTS-TV (San Jose, CA)</t>
  </si>
  <si>
    <t>Brattleboro Reformer</t>
  </si>
  <si>
    <t>Chico Enterprise-Record</t>
  </si>
  <si>
    <t>WXXI News</t>
  </si>
  <si>
    <t>The Mercury (Pottstown, PA)</t>
  </si>
  <si>
    <t>WEVV-TV (Evansville, IN)</t>
  </si>
  <si>
    <t>Jogurt može da ima povoljan efekat na rizik od dijabetesa tipa 2</t>
  </si>
  <si>
    <t>Glas Javnosti</t>
  </si>
  <si>
    <t>Dr Marion Nestle, profesorka ishrane, zdrave hrane i javnog zdravlja na Univerzitetu u Njujorku, kritikovala je odluku, pitajući se: „Zašto bi bilo koja razumna osoba mislila da je sve što treba da uradite da biste sprečili dijabetes tipa 2 da konzumirate 2 šolje jogurta nedeljno?“.</t>
  </si>
  <si>
    <t>Republican Herald</t>
  </si>
  <si>
    <t>ojoioeotrigo.com.br</t>
  </si>
  <si>
    <t>O Guia Alimentar para a População Brasileira, lançado em 2014, foi chamado por Marion Nestle, professora emérita da Universidade de Nova York, e estrela na luta por alimentação saudável, como “o melhor do mundo”. </t>
  </si>
  <si>
    <t>Baby Formula Documents Undercut Biden Administration’s Claims on Trade Policy</t>
  </si>
  <si>
    <t>Truthdig</t>
  </si>
  <si>
    <t>Casper Star-Tribune</t>
  </si>
  <si>
    <t>Albany Herald</t>
  </si>
  <si>
    <t>The Albertan</t>
  </si>
  <si>
    <t>The Free Lance-Star</t>
  </si>
  <si>
    <t>The Journal Times</t>
  </si>
  <si>
    <t>Columbus Telegram</t>
  </si>
  <si>
    <t>The Trentonian</t>
  </si>
  <si>
    <t>WTVA-TV (Tupelo, MS)</t>
  </si>
  <si>
    <t>Hawaii Tribune-Herald</t>
  </si>
  <si>
    <t>Times Argus</t>
  </si>
  <si>
    <t>2024 Bloomberg American Health Summit in Washington, D.C., to Spotlight Concrete Ways to Advance Public Health Amid Political Division  | Newswise</t>
  </si>
  <si>
    <t>Newswise</t>
  </si>
  <si>
    <t>MacKenzie, Dean, Johns Hopkins Bloomberg School of Public Health
Marion Nestle, Paulette Goddard Professor of Nutrition, Food Studies, and Public Health, Emerita, New York University
Joshua M.</t>
  </si>
  <si>
    <t>2024 Bloomberg American Health Summit in Washingto</t>
  </si>
  <si>
    <t>Bluefield Daily Telegraph</t>
  </si>
  <si>
    <t>Springfield News-Sun</t>
  </si>
  <si>
    <t>WGLT-FM (Normal, IL)</t>
  </si>
  <si>
    <t>Los yogures ahora pueden afirmar de forma limitada que reducen el riesgo de diabetes tipo 2, dice la FDA – KION546</t>
  </si>
  <si>
    <t>KMUV-TV (Monterey, CA)</t>
  </si>
  <si>
    <t>A diet high in fruits and vegetables may reduce your heart and kidney disease risk, study – KION546</t>
  </si>
  <si>
    <t>KION-TV (Salinas, CA)</t>
  </si>
  <si>
    <t>Just how bad are ultraprocessed foods? Here are 5 things to know – KION546</t>
  </si>
  <si>
    <t>Here are the ultraprocessed foods you most need to avoid, according to a 30-year study – KION546</t>
  </si>
  <si>
    <t>Yogurts can make limited claim that the food reduces risk of type 2 diabetes, FDA says – KION546</t>
  </si>
  <si>
    <t>You may be eating predigested food. Here’s why – KION546</t>
  </si>
  <si>
    <t>Estos son los alimentos ultraprocesados ​​que más debes evitar, según un estudio de 30 años – KION546</t>
  </si>
  <si>
    <t>Es posible que estés comiendo alimentos predigeridos sin saberlo. Este es el porqué – KION546</t>
  </si>
  <si>
    <t>Ultraprocessed foods linked with early death, according to 30 years of research – KION546</t>
  </si>
  <si>
    <t>How will Trump and Harris’ diverging agendas impact food, trade, and public health?</t>
  </si>
  <si>
    <t>AgFunderNews</t>
  </si>
  <si>
    <t>Marion Nestle, Paulette Goddard Professor of Nutrition, Food Studies, and Public Health Emerita at New York University, told AgFunderNews, “It’s hard to know how much credibility to give anything said during a campaign.”</t>
  </si>
  <si>
    <t>From ‘GLP-1 companion foods’ to ‘Nature’s Ozempic…’ What the new breed of weight loss drugs means for the food industry</t>
  </si>
  <si>
    <t>So is Ozempic “an existential threat to the processed food industry,” as Marion Nestle, emeritus professor of nutrition, food studies and public health at New York University recently told the New York Times, or an opportunity for creative food marketers and formulators to cash in?</t>
  </si>
  <si>
    <t>‘Food, Inc. 2’ revisits food system</t>
  </si>
  <si>
    <t>Arizona Daily Sun</t>
  </si>
  <si>
    <t>WICZ-TV (Vestal, NY)</t>
  </si>
  <si>
    <t>Leaders in Food and Agriculture React to Trump’s Second Term</t>
  </si>
  <si>
    <t>VPM</t>
  </si>
  <si>
    <t>The IOC’s response to the editorial came as no surprise to Marion Nestle,
 a professor emerita of nutrition, food studies and public health at New York University.
“Too much money is at stake for the IOC to refuse it,” she said in an email.</t>
  </si>
  <si>
    <t>Lıkır lıkır içilen ‘Çiğ süt akımı’ sağlığı tehlikeye atıyor!</t>
  </si>
  <si>
    <t>Haber365</t>
  </si>
  <si>
    <t>Marion Nestle’ de bu konuda fikrini beyan etti. Çiğ süt akımından duyduğu endişeyi ifade ederken,  "Sütün pastörize edilmesi, 20. yüzyılın en büyük halk sağlığı başarılarından biridir. Çiğ inek sütü verilen bebeklerin ölümle sonuçlanmasıyla geçmişte karşılaşılmıştır.</t>
  </si>
  <si>
    <t>Dispatch Argus</t>
  </si>
  <si>
    <t>KOSU-FM (Stillwater, Oklahoma)</t>
  </si>
  <si>
    <t>Volgens de bekende Amerikaanse voedingsdeskundige Marion Nestle houdt Kamala Harris van goed eten en snapt ze ook het sociale belang van voedsel.
Harris' interesse in voedsel is meer dan een hobby, zegt Nestle die op zoek ging naar haar kookverleden.</t>
  </si>
  <si>
    <t>Eet gewoon wat je voorouders ook al aten</t>
  </si>
  <si>
    <t>: 'Boy and grandma', li yong
De Amerikaanse voedingsprofessor en moleculair bioloog Marion … Nestle las een studie die het effect van het MIND-dieet op de cognitieve gezondheid van Chinezen bestudeerd.</t>
  </si>
  <si>
    <t>Nightside News Update 11/6/24</t>
  </si>
  <si>
    <t>WBZ-AM (Boston, MA)</t>
  </si>
  <si>
    <t>Marion Nestle - An emeritus professor of nutrition, food studies and public health at New York University asks if there is really such a thing as a healthy soda? More brands are marketing some sodas as “healthy”.
How long can you stand on one foot? The answer may predict your fall risk.</t>
  </si>
  <si>
    <t>WFFT-TV (Fort Wayne, IN)</t>
  </si>
  <si>
    <t>and address diet-related chronic diseases, stopping corporate power, eliminating conflicts of interest between industry and government, getting toxic chemicals out of the food supply, and doing everything possible to refocus the food environment and dietary advice on health," food policy researcher Marion … Nestle wrote on her Food Politics blog.</t>
  </si>
  <si>
    <t>Bryan-College Station Eagle</t>
  </si>
  <si>
    <t>Is flawed food policy responsible for listeria outbreaks in deli meats?</t>
  </si>
  <si>
    <t>Foodprint</t>
  </si>
  <si>
    <t>Some food policy experts like Marion Nestle and Ricardo Salvador have proposed reorganizing the FDA and USDA into a “department of food and well-being” that would refocus food policy on helping consumers stay healthy rather than on helping farms and food businesses with subsidies and lax regulations.</t>
  </si>
  <si>
    <t>Are natural flavors better than artificial?</t>
  </si>
  <si>
    <t>“The word ‘natural’ is there to make buyers think the food is the real thing, whether or not it really is,” says food scholar Marion Nestle, author of “Food Politics: How the Food Industry Influences Nutrition and Health.”</t>
  </si>
  <si>
    <t>Squamish Chief</t>
  </si>
  <si>
    <t>Napa Valley Register</t>
  </si>
  <si>
    <t>Ultraprocessed foods increase risk of death by any cause</t>
  </si>
  <si>
    <t>Rock Hill Herald</t>
  </si>
  <si>
    <t>Sechelt / Gibsons Coast Reporter</t>
  </si>
  <si>
    <t>Northern Virginia Daily</t>
  </si>
  <si>
    <t>Can yogurt reduce the risk of Type 2 diabetes? | Jefferson City News-Tribune</t>
  </si>
  <si>
    <t>Jefferson City News Tribune</t>
  </si>
  <si>
    <t>Delta Optimist</t>
  </si>
  <si>
    <t>Keene Sentinel</t>
  </si>
  <si>
    <t>KWKT-TV (Waco,TX)</t>
  </si>
  <si>
    <t>Niagara Falls Review</t>
  </si>
  <si>
    <t>KCAU-TV (Sioux City, IA)</t>
  </si>
  <si>
    <t>Lancaster Farming</t>
  </si>
  <si>
    <t>WOSU-TV (Columbus, OH)</t>
  </si>
  <si>
    <t>Bytemarks Café.org</t>
  </si>
  <si>
    <t>KHPR-FM (Honolulu, HI)</t>
  </si>
  <si>
    <t>The Post-Star</t>
  </si>
  <si>
    <t>Huron Daily Tribune</t>
  </si>
  <si>
    <t>WUWM-FM (Milwaukee, WI)</t>
  </si>
  <si>
    <t>WiscNews</t>
  </si>
  <si>
    <t>Inland Valley Daily Bulletin</t>
  </si>
  <si>
    <t>Why you should be thinking about food beyond your plate</t>
  </si>
  <si>
    <t>Washington Square News</t>
  </si>
  <si>
    <t>But for Marion Nestle, the founder of the Food Studies program at NYU, food has long been a field for academic study, and there’s a whole world of dialogue that occurs beyond our plates.</t>
  </si>
  <si>
    <t>From Tariffs to Insecurity, What Trump's Election Means for Food Tech in the US</t>
  </si>
  <si>
    <t>Green Queen</t>
  </si>
  <si>
    <t>But Marion Nestle, one of America’s most prominent public health advocates, has suggested that a second Trump term would turn back the clock on nutrition research and conflicts of interest between governments and businesses.</t>
  </si>
  <si>
    <t>Food, Inc. 2: Documentary Spotlights Big Food, UPFs &amp; Cultivated Meat – But Lacks Focus</t>
  </si>
  <si>
    <t>It further addresses portion sizes, a major driver of food waste and ill health, with nutritionist Marion Nestle noting how fast-food chains proliferated and made portions bigger.</t>
  </si>
  <si>
    <t>The News Herald (Southgate, MI)</t>
  </si>
  <si>
    <t>KFJX-TV (Pittsburg, KS)</t>
  </si>
  <si>
    <t>EEUU reevaluará las recomendaciones sobre alcohol en 2025</t>
  </si>
  <si>
    <t>Vinetur</t>
  </si>
  <si>
    <t>Marion Nestle, exasesora de política nutricional del HHS, señaló que el sector del alcohol está preocupado por los cambios que podrían introducirse.</t>
  </si>
  <si>
    <t>El plan de Robert F. Kennedy Jr. para hacer "saludable" a USA</t>
  </si>
  <si>
    <t>curadas.com</t>
  </si>
  <si>
    <t>corporativo, eliminar los conflictos de intereses entre la industria y el gobierno, sacar los productos químicos tóxicos del suministro de alimentos y hacer todo lo posible para reorientar el entorno alimentario y los consejos dietéticos hacia la salud”, escribió la investigadora en política alimentaria Marion … Nestle en su blog Food Politics.</t>
  </si>
  <si>
    <t>SinoVision</t>
  </si>
  <si>
    <t>Laconia Daily Sun</t>
  </si>
  <si>
    <t>Can Upstart Entrants Shake Up the Soda Industry?</t>
  </si>
  <si>
    <t>The Daily Upside</t>
  </si>
  <si>
    <t>“If they’re marketing them as having a major prebiotic effect, that’s an exaggeration,” Marion Nestle, an emeritus professor of nutrition at New York University told the Washington Post last year. “The evidence behind it? Not so strong.”</t>
  </si>
  <si>
    <t>“We Are Nature”, il messaggio di Terra Madre Salone del Gusto 2024 (Torino, 26-30 settembre)</t>
  </si>
  <si>
    <t>Wine News (Italy)</t>
  </si>
  <si>
    <t>KYMA-TV (Yuma, AZ)</t>
  </si>
  <si>
    <t>WTHI-TV (Terre Haute, IN)</t>
  </si>
  <si>
    <t>Despite Ozempic and RFK Jr., Uncrustables and Twinkies believe 'very strongly that snacking continues'</t>
  </si>
  <si>
    <t>"The food industry ought to be quaking in its boots, but they don't think it's going to happen," Marion Nestle, a leading authority on nutrition and food policy at New York University, said in an interview last week with CNN.</t>
  </si>
  <si>
    <t>KULR-TV (Billings, MT)</t>
  </si>
  <si>
    <t>Mankato Free Press</t>
  </si>
  <si>
    <t>A luta de classes na comida e nos corpos</t>
  </si>
  <si>
    <t>Esquerda.net</t>
  </si>
  <si>
    <t>Marion Nestle: Food Politics: How the Food Industry Influences Nutrition and Health, University of California Press, Berkeley, 2003.
14. Margaret Chan: «Alocución de la Dra.</t>
  </si>
  <si>
    <t>Philadelphia Tribune</t>
  </si>
  <si>
    <t>WUFT-TV (Gainesville, FL)</t>
  </si>
  <si>
    <t>AJPH Peer Reviewers 2023–2024: Thank You for Your Services | AJPH | Vol. 114 Issue 11</t>
  </si>
  <si>
    <t>American Journal of Public Health</t>
  </si>
  <si>
    <t>Nadelmann
 Sonya Naganathan
 Michele Natsuko Nakata
 Tessa Nalven
 Krishtee Napit
 Elizabeth Nash
 Colleen Naughton
 Michael Nelson
 Marion Nestle
 Remington Lee Nevin
 Brian Trung Nguyen
 Chloe R.</t>
  </si>
  <si>
    <t>North Country Public Radio (NCPR)</t>
  </si>
  <si>
    <t>Grand Junction Daily Sentinel</t>
  </si>
  <si>
    <t>Rapid City Journal</t>
  </si>
  <si>
    <t>Corvallis Gazette-Times</t>
  </si>
  <si>
    <t>St. Albert Gazette</t>
  </si>
  <si>
    <t>BM den 30 yıllık araştırma.. İşte asla eve sokmamamız gereken yiyecekler</t>
  </si>
  <si>
    <t>habervitrini.com</t>
  </si>
  <si>
    <t>Marion Nestle, bu çalışmadaki bulguların bu alandaki diğer yüzlerce bulguyla tutarlı olduğunu ancak bunu benzersiz kılan şeyin, ultra işlenmiş gıda kategorisindeki farklı alt grupları ayrıştırması olduğunu söyledi. New York Üniversitesi'nde halk sağlığı.</t>
  </si>
  <si>
    <t>Bowling Green Daily News</t>
  </si>
  <si>
    <t>Z pití syrového mléka je v USA navzdory rizikům velké hnutí. Podporuje ho i Robert F. Kennedy - Zdravotnický deník</t>
  </si>
  <si>
    <t>zdravotnickydenik.cz</t>
  </si>
  <si>
    <t>To je riziko, které bych nerada podstupovala,“ vysvětlila pro magazín Time Marion Nestle, emeritní profesorka výživy a veřejného zdraví na New York University.</t>
  </si>
  <si>
    <t>La lucha por la comida de RFK Jr.</t>
  </si>
  <si>
    <t>The Epoch Times en Español</t>
  </si>
  <si>
    <t>"Aunque su intención era fomentar el consumo de cereales integrales y porciones pequeñas, el hecho que la pirámide pusiera los cereales como base de una dieta saludable indujo inadvertidamente a la industria alimentaria a comercializar enérgicamente productos de cereales altamente procesados", dijo Marion … Nestle, experta en política alimentaria y exmiembro de la DGAC, a The Epoch Times en un correo electrónico.</t>
  </si>
  <si>
    <t>KPCW-FM (Salt Lake City, UT)</t>
  </si>
  <si>
    <t>The Lowell Sun</t>
  </si>
  <si>
    <t>30年来首次 FDA更新“健康食品”定义</t>
  </si>
  <si>
    <t>纽约大学的营养专家奈斯特（Marion Nestle）说，新规可能会鼓励食品制造商重新配制他们的食品，以减少钠、糖和饱和脂肪。
她说，考虑到对添加糖的新限制，如果不改变配方，许多谷物将无法贴上健康的标签。
美国心脏协会（AHA）表示，新的“健康”标准是朝着正确方向迈出的一步。该组织敦促FDA也在包装正面的营养标签上采取行动，使信息更清晰可见。他们表示，这将帮助消费者快速、轻松地选择更健康的食品和饮料。
（编辑：陈晓默）</t>
  </si>
  <si>
    <t>The Roundtable</t>
  </si>
  <si>
    <t>Pique NewsMagazine</t>
  </si>
  <si>
    <t>POZ</t>
  </si>
  <si>
    <t>Çiğ süt içmenin zararları nedir? Çiğ süt neden içilmez?</t>
  </si>
  <si>
    <t>Seydişehir Haber</t>
  </si>
  <si>
    <t>Marion Nestle, çiğ süt trendinden duyduğu endişeyi dile getirirken, "Sütün pastörize edilmesi, 20. yüzyılın en büyük halk sağlığı başarılarından biridir. Çiğ inek sütü verilen bebeklerin ölümle sonuçlanmasıyla geçmişte karşılaşılmıştır. Sütün pastörize edilmesi, işlenmiş gıda olduğunu göstermez.</t>
  </si>
  <si>
    <t>Sioux City Journal</t>
  </si>
  <si>
    <t>The Journal-Courier</t>
  </si>
  <si>
    <t>Daily Journal (Franklin, IN)</t>
  </si>
  <si>
    <t>San Gabriel Valley Tribune</t>
  </si>
  <si>
    <t>News-Press Now</t>
  </si>
  <si>
    <t>Middletown Press</t>
  </si>
  <si>
    <t>The Morning Journal (Lorain, OH)</t>
  </si>
  <si>
    <t>Portal.Tds.Net</t>
  </si>
  <si>
    <t>Connecticut Public</t>
  </si>
  <si>
    <t>The Daily News (Longview, WA)</t>
  </si>
  <si>
    <t>Što se ne bi smjelo jesti ali baš nikada?</t>
  </si>
  <si>
    <t>metro-portal.hr</t>
  </si>
  <si>
    <t>"Doslovno stotine studija povezuju industrijski prerađenu hranu s pretilošću, rakom, kardiovaskularnim bolestima i ukupnom smrtnošću", rekla je Marion Nestle, profesorica na Sveučilištu New York, u intervjuu za CNN 2022.</t>
  </si>
  <si>
    <t>Jogurt smanjuje rizik od dijabatesa?</t>
  </si>
  <si>
    <t>Marion Nestle, profesorica nutricionizma, zdrave hrane i javnog zdravstva na Sveučilištu New York, kritizirala je odluku upitavši: "Zašto bi bilo koja razumna osoba mislila da je sve što trebate učiniti kako biste spriječili dijabetes tipa 2 konzumirati dvije šalice jogurta tjedno?"</t>
  </si>
  <si>
    <t>Times-Standard</t>
  </si>
  <si>
    <t>atb.com.bo</t>
  </si>
  <si>
    <t>Investigadores explican por qué es difícil resistirse a los alimentos ultraprocesados</t>
  </si>
  <si>
    <t>The Waterloo-Cedar Falls Courier</t>
  </si>
  <si>
    <t>myMotherLode.com</t>
  </si>
  <si>
    <t>Here’s why you may be eating predigested food</t>
  </si>
  <si>
    <t>Look for these 9 red flags that identify ultra-processed foods</t>
  </si>
  <si>
    <t>Helena Independent Record</t>
  </si>
  <si>
    <t>Marion Nestle, a food policy expert, said qualified health claims based on limited evidence are “ridiculous on their face.”
“Translation: If you want to believe this, go ahead, but it's not on the basis of evidence,” she said.
Video Player is loading.</t>
  </si>
  <si>
    <t>Journal-News</t>
  </si>
  <si>
    <t>Killeen Daily Herald</t>
  </si>
  <si>
    <t>Pantagraph</t>
  </si>
  <si>
    <t>Digital Journal</t>
  </si>
  <si>
    <t>The Eagle-Tribune</t>
  </si>
  <si>
    <t>Waco Tribune-Herald‎</t>
  </si>
  <si>
    <t>WXOW-TV (La Crosse, WI)</t>
  </si>
  <si>
    <t>Daily Freeman</t>
  </si>
  <si>
    <t>UNDARK</t>
  </si>
  <si>
    <t>KAMR-TV (Amarillo, TX)</t>
  </si>
  <si>
    <t>Marion Nestle, a food policy expert, said qualified health claims based on limited evidence are “ridiculous on their face.”
“Translation: If you want to believe this, go ahead, but it's not on the basis of evidence,” she said.
 You must be logged in to react.</t>
  </si>
  <si>
    <t>Twinkies vs. Gesundheitspolitik: Die unstillbare Snacklust der Amerikaner</t>
  </si>
  <si>
    <t>Klamm.de</t>
  </si>
  <si>
    <t>"Die Lebensmittelindustrie sollte sich Sorgen machen, tut es aber nicht", erklärte Marion Nestle, Ernährungsexpertin an der New York University. Gleichzeitig bleibt der Einfluss neuer GLP-1-Medikamente, die von vielen zur Gewichtsreduktion genutzt werden, auf das Konsumverhalten bisher aus.</t>
  </si>
  <si>
    <t>Wie Diäten und Gesundheitstrends wirklich auf unseren Körper wirken</t>
  </si>
  <si>
    <t>Marion Nestle, eine renommierte Ernährungswissenschaftlerin, betont die Bedeutung einervielfältigen und ausgewogenen Ernährung. Sie empfiehlt, den Fokus auf natürliche, unverarbeitete Lebensmittel zu legen und den Konsum von Zucker und gesättigten Fetten zu reduzieren.</t>
  </si>
  <si>
    <t>WFAE-FM (Charlotte, NC)</t>
  </si>
  <si>
    <t>Prejuicios sobre el conocimiento experto en la reforma judicial</t>
  </si>
  <si>
    <t>La Jornada Maya</t>
  </si>
  <si>
    <t>Un ejemplo que ilustra esta falsa creencia está documentado en el libro de Marion Nestle (Food Politics), donde relata cómo en la década de los 80 del siglo pasado la industria de la comida, especialmente la de la carne y los lácteos, se dieron cuenta de que era posible tener más ventas si usaban las</t>
  </si>
  <si>
    <t>Citrus County Chronicle</t>
  </si>
  <si>
    <t>Get more from the Citrus County Chronicle
Overall, the recommendations for the 2025-2030 Dietary Guidelines for Americans sound familiar, said Marion Nestle, a food policy expert.</t>
  </si>
  <si>
    <t>Western Wheel</t>
  </si>
  <si>
    <t>SaskToday.ca</t>
  </si>
  <si>
    <t>The Sentinel Colorado</t>
  </si>
  <si>
    <t>The Monterey County Herald</t>
  </si>
  <si>
    <t>Food Navigator</t>
  </si>
  <si>
    <t>Daily Item</t>
  </si>
  <si>
    <t>Kenosha News</t>
  </si>
  <si>
    <t>Daily Independent</t>
  </si>
  <si>
    <t>Pasadena Star-News</t>
  </si>
  <si>
    <t>Midland Reporter-Telegram</t>
  </si>
  <si>
    <t>Citizen Tribune</t>
  </si>
  <si>
    <t>WVXU-FM (Cincinnati, OH)</t>
  </si>
  <si>
    <t>'Extraordinarily Bad Choice'</t>
  </si>
  <si>
    <t>"If the right wing wants to make America healthy again, I think that's fantastic," Marion Nestle, a nutrition professor emerita at New York University, told the Wall Street Journal.
Related Articles 
This story was originally published November 15, 2024, 5:53 AM.</t>
  </si>
  <si>
    <t>Report into American diets: Time to go plant based?</t>
  </si>
  <si>
    <t>“This is a deregulatory agenda,” Marion Nestle, a professor of nutrition and food policy at New York University, has told The Guardian. “And what we know historically from deregulation is that it’s really bad for consumers, it’s bad for workers, it’s bad for the environment.”</t>
  </si>
  <si>
    <t>River Bender</t>
  </si>
  <si>
    <t>Idaho State Journal</t>
  </si>
  <si>
    <t>Telegraph Herald (Dubuque, Iowa)</t>
  </si>
  <si>
    <t>Marion Nestle, biologist and nutritionist at New York University, looks back a few decades and marvels at how food has become something available anytime, anywhere: “You go into a clothing store and there are candy bars at the checkout counter.”</t>
  </si>
  <si>
    <t>Double Take -- Sisco: Government intervention needed in food industry</t>
  </si>
  <si>
    <t>“The whole purpose of a food company is to get people to eat more of its products,” researcher Marion Nestle (not related to Nestlé Foods) said.</t>
  </si>
  <si>
    <t>Armstrong MyWire</t>
  </si>
  <si>
    <t>Michigan Public</t>
  </si>
  <si>
    <t>5 fatos sobre alimentos ultraprocessados que você deve saber</t>
  </si>
  <si>
    <t>Jornal Floripa</t>
  </si>
  <si>
    <t>Estudo revela quais são os alimentos ultraprocessados que as pessoas devem evitar</t>
  </si>
  <si>
    <t>Marion Nestle, professora emérita de nutrição, estudos alimentares e ciências alimentares da Escola de Saúde Pública Paulette Goddard da Universidade de Nova Iorque.
Não necessariamente recomendaria uma rejeição total de todos os alimentos ultraprocessados porque é uma categoria diversa, disse.</t>
  </si>
  <si>
    <t>Republican-American</t>
  </si>
  <si>
    <t>KDRV-TV (Medford, OR)</t>
  </si>
  <si>
    <t>Columbus Ledger-Enquirer</t>
  </si>
  <si>
    <t>WMBB-TV (Panama City, FL)</t>
  </si>
  <si>
    <t>SiliconValley.com</t>
  </si>
  <si>
    <t>Scranton Times-Tribune</t>
  </si>
  <si>
    <t>Podcast: Don’t Take the (Click) Bait: Marion Nestle on Finding the Truth Behind Food Industry Headlines</t>
  </si>
  <si>
    <t>Edible Communities</t>
  </si>
  <si>
    <t>., Marion Nestle, author of Slow Cooked, A Memoir in Food Politics, returns to Eat. Drink. Think. to help us think critically about food policy and politics. … Podcast: Cooking &amp; Capitalism with Marion Nestle (January 5, 2024)
Food Politics (Marion Nestle’s daily blog) 
The USDA Updates Plant Hardiness Zones
Slow Cooked by Marion Nestle
Food Politics by Marion Nestle
Powered by RedCircle
Amy O’Neill Houck:
Welcome to Eat. Drink. Think.</t>
  </si>
  <si>
    <t>Podcast: Food, Inc. 2: Michael Pollan and Melissa Robledo are Back for Seconds</t>
  </si>
  <si>
    <t>AOH:
The other day I was interviewing Marion Nestle, who incidentally has a role in Food Inc. Two for an unrelated episode of Eat. Drink.</t>
  </si>
  <si>
    <t>9Honey | Coach</t>
  </si>
  <si>
    <t>El plan de Robert F. Kennedy Jr. para hacer "saludable" a Estados Unidos preocupa a los expertos en salud - Local News 8</t>
  </si>
  <si>
    <t>WXPI-TV (Idaho Falls, ID)</t>
  </si>
  <si>
    <t>Son hasta el 70% de la dieta estadounidense, pero EE.UU. no tiene una política sobre alimentos ultraprocesados - Local News 8</t>
  </si>
  <si>
    <t>RFK Jr.’s to-do list to make America ‘healthy’ has health experts worried - Local News 8</t>
  </si>
  <si>
    <t>Despite Ozempic and RFK Jr., Uncrustables and Twinkies believe ‘very strongly that snacking continues’ - Local News 8</t>
  </si>
  <si>
    <t>A lowly vegetable rises to stardom in newly released dietary advisory report - Local News 8</t>
  </si>
  <si>
    <t>More beans and less red meat: Nutritionists weigh in on US dietary guidelines - Local News 8</t>
  </si>
  <si>
    <t>Durango Herald</t>
  </si>
  <si>
    <t>Sunday of Strong Women to celebrate authors and the power of their words</t>
  </si>
  <si>
    <t>The Jewish Standard</t>
  </si>
  <si>
    <t>This year the JCC Book Event will celebrate three strong female authors Lisa Belkin, Marion Nestle, and Emi Nietfeld and the power of their words.</t>
  </si>
  <si>
    <t>WAOW-TV (Wausau, WI)</t>
  </si>
  <si>
    <t>Lessons on Food Systems Leadership</t>
  </si>
  <si>
    <t>Stanford Social Innovation Review</t>
  </si>
  <si>
    <t>For educators, food systems study is a relatively new field (the first program started at NYU under Marion Nestle in the mid-1990s), but there are now close to 100 degree- and certification-bearing programs across the United States, centered on food access, nutrition security, climate and environmental</t>
  </si>
  <si>
    <t>Food Dive</t>
  </si>
  <si>
    <t>Greenwich Time</t>
  </si>
  <si>
    <t>U.S. food producer Mondelez taps AI to tweak classic snacks</t>
  </si>
  <si>
    <t>Big News Network</t>
  </si>
  <si>
    <t>Food companies like Mondelez are racing to try out AI in every area of their business, from supply chains to marketing to recipe development, Marion Nestle, professor emerita of nutrition, food studies and public health at New York University, was quoted as saying.</t>
  </si>
  <si>
    <t>The Norwalk Hour</t>
  </si>
  <si>
    <t>Les barres protéinées sur-promettent sans complexe</t>
  </si>
  <si>
    <t>L'ADN</t>
  </si>
  <si>
    <t>« J’ai perdu 70 kg en huit mois »
Autrefois l’apanage des sportifs, ces snacks augmentés sont consommés par un plus large public, séduit par leurs promesses : « Les gens pensent qu’ils font quelque chose de bon pour leur santé » lorsqu’ils mangent ces encas, explique au New York Times Marion Nestle</t>
  </si>
  <si>
    <t>Ideastream</t>
  </si>
  <si>
    <t>Poor Man's Feast: So What? – PRINT Magazine</t>
  </si>
  <si>
    <t>PRINT</t>
  </si>
  <si>
    <t>I sat in a University of Tromsø conference room with Marion Nestle and Peter Hoffman, while the head of the Norwegian salmon council refused to tell us what they fed their farmed salmon (which is prohibited from being sold anywhere in the EU) until Marion and I actually volunteered to try the feed ourselves</t>
  </si>
  <si>
    <t>The Press of Atlantic City</t>
  </si>
  <si>
    <t>WKBT-TV (La Crosse, WI)</t>
  </si>
  <si>
    <t>The Republic</t>
  </si>
  <si>
    <t>Santa Cruz Sentinel</t>
  </si>
  <si>
    <t>Yogurts can make limited claim that the food reduces risk of type 2 diabetes, FDA says - Daily Independent</t>
  </si>
  <si>
    <t>Can yogurt reduce the risk of Type 2 diabetes? - Daily Independent</t>
  </si>
  <si>
    <t>The Biden Administration says its trade policy puts people over corporations. Documents on baby formula show otherwise</t>
  </si>
  <si>
    <t>Signs of the Times - SOTT</t>
  </si>
  <si>
    <t>"Infant formula companies want to sell more infant formula," said Marion Nestle, professor emerita of nutrition, food studies and public health at New York University.</t>
  </si>
  <si>
    <t>Is our food safe?</t>
  </si>
  <si>
    <t>The Daily Times (Salisbury, MD)</t>
  </si>
  <si>
    <t>San Mateo Daily Journal</t>
  </si>
  <si>
    <t>Moose Jaw Today</t>
  </si>
  <si>
    <t>La Crosse Tribune</t>
  </si>
  <si>
    <t>容易早死！研究：你需要避免的超加工食品！ - 人在温哥华网 VanPeople.com</t>
  </si>
  <si>
    <t>VanPeople.com</t>
  </si>
  <si>
    <t>保莱特·戈达德 （Paulette Goddard） 营养学、食品研究和纽约大学公共卫生营养学荣誉教授马里昂·内斯特 （Marion Nestle） 博士表示，这项研究的结果与该领域数百个其他研究结果一致
他指宋博士的研究显示不要完全拒绝所有的超加工食品， 例如也被认为是超加工食品的谷物、全麦面包，它们含有各种有益的营养素，如纤维、维生素和矿物质。他认为人们应该尽量避免或限制某些超加工食品的消费，例如加工肉类、含糖饮料以及可能的人工甜味饮料。</t>
  </si>
  <si>
    <t>指南咨询委员会成员之一、美国纽约大学的营养学家Marion Nestle发现，许多表明酒精对心脏健康有益的研究存在缺陷，并且无法解释为什么一些人生病后要戒酒。不过也有一些研究表明，一些饮酒者更加健康。专家认为，由于太多变量起作用，无法将葡萄酒和心脏健康联系起来。
五年来，美国酒精致死的人数在增加。2017年至2021年，美国每年因过量饮酒而死亡的平均人数增加29%。美国疾病控制和预防中心的数据显示，大流行期间每年有超过14万人死于过量饮酒，其中20%是20-49岁的年轻人。</t>
  </si>
  <si>
    <t>WGN-AM (Chicago, IL)</t>
  </si>
  <si>
    <t>How US dietary recommendations have changed over the last 50 years</t>
  </si>
  <si>
    <t>KNBN-TV (Rapid City, SD)</t>
  </si>
  <si>
    <t>Regina Leader-Post</t>
  </si>
  <si>
    <t>Why the best diet for you is also good for the planet</t>
  </si>
  <si>
    <t>现在还能安心吃鸡蛋吗？ 禽流感常见6问答一次看</t>
  </si>
  <si>
    <t>iask</t>
  </si>
  <si>
    <t>KPXJ 21 (Shreveport, LA)</t>
  </si>
  <si>
    <t>WLFI-TV (West Lafayette, IN)</t>
  </si>
  <si>
    <t>Bradenton Herald</t>
  </si>
  <si>
    <t>Bozeman Daily Chronicle</t>
  </si>
  <si>
    <t>Galveston County Daily News</t>
  </si>
  <si>
    <t>Hastings Tribune</t>
  </si>
  <si>
    <t>What alarms health experts most about RFK Jr. is what he’s leaving out of his health policy proposals - Local News 8</t>
  </si>
  <si>
    <t>Ultraprocessed foods linked with early death, according to 30 years of research - Local News 8</t>
  </si>
  <si>
    <t>A diet high in fruits and vegetables may reduce your heart and kidney disease risk, study - Local News 8</t>
  </si>
  <si>
    <t>Just how bad are ultraprocessed foods? Here are 5 things to know - Local News 8</t>
  </si>
  <si>
    <t>From added sugar to sodium, here's how US dietary recommendations have changed over the last 50 years - Local News 8</t>
  </si>
  <si>
    <t>Estos son los alimentos ultraprocesados ​​que más debes evitar, según un estudio de 30 años - Local News 8</t>
  </si>
  <si>
    <t>Los yogures ahora pueden afirmar de forma limitada que reducen el riesgo de diabetes tipo 2, dice la FDA - Local News 8</t>
  </si>
  <si>
    <t>Longmont Times-Call</t>
  </si>
  <si>
    <t>Ideastream Public Media</t>
  </si>
  <si>
    <t>Greeley Tribune</t>
  </si>
  <si>
    <t>WSIL-TV (Carterville, IL)</t>
  </si>
  <si>
    <t>Chế độ ăn nào vừa tốt cho bản thân vừa tốt cho sức khỏe hành tinh?</t>
  </si>
  <si>
    <t>moitruongvadothi.vn</t>
  </si>
  <si>
    <t>Marion Nestle, giáo sư danh dự về dinh dưỡng, nghiên cứu thực phẩm và sức khỏe cộng đồng tại NYU, cho biết chính phủ liên bang nên áp dụng các chính sách thực phẩm để thúc đẩy chế độ ăn không chỉ bổ dưỡng mà còn bền vững.</t>
  </si>
  <si>
    <t>More beans and less red meat: Experts weigh in on US dietary guidelines</t>
  </si>
  <si>
    <t>Inquirer.Net USA</t>
  </si>
  <si>
    <t>Marion Nestle, a food policy expert, said qualified health claims based on limited evidence are “ridiculous on their face.”
Don't miss out on the latest news and information. 
TAGS: Health and Wellness, Trending, Type 2 Diabetes</t>
  </si>
  <si>
    <t>KTAB-TV (Abilene, TX)</t>
  </si>
  <si>
    <t>Citizens Voice</t>
  </si>
  <si>
    <t>WDIO-TV (Duluth, MN)</t>
  </si>
  <si>
    <t>CANOE</t>
  </si>
  <si>
    <t>Jackson Hole Daily</t>
  </si>
  <si>
    <t>"If the right wing wants to make America healthy again, I think that's fantastic," Marion Nestle, a nutrition professor emerita at New York University, told the Wall Street Journal.
• RFK Jr.'s Stance on Abortion Could Backfire, Ex-Bush Official Warns
• Democrat 'Excited' and Wary of RFK Jr.</t>
  </si>
  <si>
    <t>还能安心吃鸡蛋鸡肉吗？禽流感常见6问题一次看 - 人在温哥华网 VanPeople.com</t>
  </si>
  <si>
    <t>答：还需要更多研究，但现在可以保持冷静，分子生物学家及公共卫生提倡者奈斯利（Marion Nestle）说，禽流感如何传染给人类需要更多研究，目前所知是并不容易，而预防措施也是那个原则：经常洗手，并确保洗干净。
禽流感
鸡蛋
疫情</t>
  </si>
  <si>
    <t>The Modesto Bee</t>
  </si>
  <si>
    <t>Centre Daily Times</t>
  </si>
  <si>
    <t>Are Pets Actually Good for You? Maybe Not.</t>
  </si>
  <si>
    <t>RealClear Science</t>
  </si>
  <si>
    <t>KVEA-TV (Universal City, CA)</t>
  </si>
  <si>
    <t>WEHT-TV (Henderson, KY)</t>
  </si>
  <si>
    <t>BRProud</t>
  </si>
  <si>
    <t>Fighting the Bliss Point Formula, by Chuck Norris</t>
  </si>
  <si>
    <t>Creators</t>
  </si>
  <si>
    <t>AccessWDUN</t>
  </si>
  <si>
    <t>Rocky Mountain Outlook</t>
  </si>
  <si>
    <t>Yogurts makers can make limited claim the food reduces risk of type 2 diabetes, FDA says</t>
  </si>
  <si>
    <t>KRCG-TV (New Bloomfield, MO)</t>
  </si>
  <si>
    <t>Windstream.net</t>
  </si>
  <si>
    <t>WWAY-TV (Wilmington, NC)</t>
  </si>
  <si>
    <t>The Olympian</t>
  </si>
  <si>
    <t>Pie de Página</t>
  </si>
  <si>
    <t>Macomb Daily</t>
  </si>
  <si>
    <t>Calgary Sun</t>
  </si>
  <si>
    <t>Aşırı işlenmiş gıdalardan kesinlikle uzak durun</t>
  </si>
  <si>
    <t>risalehaber.com</t>
  </si>
  <si>
    <t>New York Üniversitesi'nde beslenme, gıda çalışmaları ve kamu sağlığı alanında dersler veren aynı zamanda "Soda Politics" (Gazoz Politikaları) kitabının da yazarı olan Marion Nestle, "Büyük ambalajlar sizi aşırı tüketmeye yönlendirmek üzere tasarlanmıştır.</t>
  </si>
  <si>
    <t>Missoulian</t>
  </si>
  <si>
    <t>KAMC-TV (Lubbock, TX)</t>
  </si>
  <si>
    <t>Can yogurt reduce the risk of Type 2 diabetes? - BusinessToday</t>
  </si>
  <si>
    <t>BusinessToday Malaysia</t>
  </si>
  <si>
    <t>Marion Nestle, a food policy expert, said qualified health claims based on limited evidence are “ridiculous on their face.” –  Associated Press Health and Science Department</t>
  </si>
  <si>
    <t>KX Television</t>
  </si>
  <si>
    <t>WDHN-TV (Dothan, AL )</t>
  </si>
  <si>
    <t>Marion Nestle, a food policy expert, said qualified health claims based on limited evidence are "ridiculous on their face."
"Translation: If you want to believe this, go ahead, but it's not on the basis of evidence," she said.
3 ways plant-based diets affect the health of your skin</t>
  </si>
  <si>
    <t>WLRN-FM (Miami, FL)</t>
  </si>
  <si>
    <t>WAAY-TV (Huntsville, AL)</t>
  </si>
  <si>
    <t>WFXR-TV (Roanoke, VA)</t>
  </si>
  <si>
    <t>The Delaware County Daily Times</t>
  </si>
  <si>
    <t>Press-Telegram</t>
  </si>
  <si>
    <t>Maine Calling</t>
  </si>
  <si>
    <t xml:space="preserve">Çiğ süt içmenin zararları nedir? Çiğ süt neden içilmez? Sosyal medyada viral olan çiğ süt içme akımı </t>
  </si>
  <si>
    <t>haberlisin.com</t>
  </si>
  <si>
    <t>KIMT-TV (Mason City, IA)</t>
  </si>
  <si>
    <t>Sentient Media</t>
  </si>
  <si>
    <t>Free Republic</t>
  </si>
  <si>
    <t>The Peterborough Examiner</t>
  </si>
  <si>
    <t>The Telegraph (Macon)</t>
  </si>
  <si>
    <t>The Prince George Citizen</t>
  </si>
  <si>
    <t>Schools lack appetite for Lunchables</t>
  </si>
  <si>
    <t>Northwest Arkansas Democrat Gazette</t>
  </si>
  <si>
    <t>Marion Nestle, a retired professor of nutrition, food studies and public health at New York University, said Lunchables "were too expensive for schools to buy on their tight school meal budgets, too nutritionally controversial, unable to be supplied adequately, and too generative of unfavorable publicity</t>
  </si>
  <si>
    <t>The economic fallout of Ozempic—and how it impacts docs | MDLinx</t>
  </si>
  <si>
    <t>MDLinx</t>
  </si>
  <si>
    <t>Billings Gazette</t>
  </si>
  <si>
    <t>WUNC-FM (Chapel Hill, NC)</t>
  </si>
  <si>
    <t>Winston-Salem Journal</t>
  </si>
  <si>
    <t>KXLY-TV (Spokane, WA)</t>
  </si>
  <si>
    <t>KERA News (Dallas, TX)</t>
  </si>
  <si>
    <t>WRBL-TV (Columbus, GA)</t>
  </si>
  <si>
    <t>HealthDay</t>
  </si>
  <si>
    <t>Food policy expert Marion Nestle told the Associated Press that qualified health claims are "ridiculous on their face."
More Information</t>
  </si>
  <si>
    <t>The Daily Progress</t>
  </si>
  <si>
    <t>Reading Eagle</t>
  </si>
  <si>
    <t>Can Yogurt Reduce The Risk Of Type 2 Diabetes?</t>
  </si>
  <si>
    <t>Air 1</t>
  </si>
  <si>
    <t>Edmonton Sun</t>
  </si>
  <si>
    <t>Ottawa Sun</t>
  </si>
  <si>
    <t>"Ultra-processed foods" and their impact on your health</t>
  </si>
  <si>
    <t>BizNews.com</t>
  </si>
  <si>
    <t>On a panel in the early fall, renowned food scholar, molecular biologist and author Marion Nestle said the number of studies connecting ultra-processed foods to negative health outcomes had passed the 1,600 mark.</t>
  </si>
  <si>
    <t>Greensboro News &amp; Record</t>
  </si>
  <si>
    <t>WAMU-FM (Washington, D.C.)</t>
  </si>
  <si>
    <t>Εννέα tips για να διακρίνετε τα επεξεργασμένα τρόφιμα</t>
  </si>
  <si>
    <t>seleo.gr</t>
  </si>
  <si>
    <t>Public health advocates push Olympics to drop Atlanta-based Coca-Cola as a sponsor</t>
  </si>
  <si>
    <t>WABE-FM (Atlanta, GA)</t>
  </si>
  <si>
    <t>Cornell Chronicle</t>
  </si>
  <si>
    <t>CentralIllinoisProud.com</t>
  </si>
  <si>
    <t>Capital Gazette</t>
  </si>
  <si>
    <t>Quad-City Times</t>
  </si>
  <si>
    <t>New Hampshire Public Radio</t>
  </si>
  <si>
    <t>Seattlepi.com</t>
  </si>
  <si>
    <t>Roanoke Times</t>
  </si>
  <si>
    <t>Yakima Herald-Republic</t>
  </si>
  <si>
    <t>优格真能降低罹患第二型糖尿病风险吗？ | 加拿大家园</t>
  </si>
  <si>
    <t>食品政策专家奈斯托（Marion Nestle）也表示，证据有限的「合格健康声明」，从表面看是荒谬的。</t>
  </si>
  <si>
    <t>Windsor Star</t>
  </si>
  <si>
    <t>KEYT-TV (Santa Barbara, CA)</t>
  </si>
  <si>
    <t>The documentary 'Food, Inc. 2’ revisits food system</t>
  </si>
  <si>
    <t>Mint Lounge</t>
  </si>
  <si>
    <t>Descoperire după 3 decenii de cercetare, neștiută de oameni: Alimentele care îți scurtează cu mulți ani viața</t>
  </si>
  <si>
    <t>ziuanews.ro</t>
  </si>
  <si>
    <t>Marion Nestle, profesor emerit Paulette Goddard de nutriție de la Universitatea din New York. Trebuie să scăpăm de toate alimentele ultraprocesate? Song nu ar sfătui neapărat o respingere completă a tuturor alimentelor ultraprocesate, deoarece este o categorie diversă, a spus el.</t>
  </si>
  <si>
    <t>Descoperire după 30 de ani de cercetări: Alimentele care scurtează cu mulți ani viața</t>
  </si>
  <si>
    <t>Marion Nestle, a food policy expert, said qualified health claims based on limited evidence are “ridiculous on their face.”
“Translation: If you want to believe this, go ahead, but it's not on the basis of evidence,” she said.
news8000
news8000
news8000
news8000
news8000
news8000</t>
  </si>
  <si>
    <t>KETK-TV (Tyler, TX)</t>
  </si>
  <si>
    <t>Ushqimet ultra të përpunuara lidhen me vdekjen e hershme, ja çfarë duhet të shmangni</t>
  </si>
  <si>
    <t>oranews.tv</t>
  </si>
  <si>
    <t>Marion Nestle, profesoreshë e njohur e të ushqyerit, studimeve ushqimore dhe shëndetit publik në Universitetin e Nju Jorkut.
A duhet të heqim shmangim të gjitha ushqimet  ultra të përpunuara?</t>
  </si>
  <si>
    <t>Marion Nestle.
 Pse duhet të shmangni acidin? Fokusi i studimeve laboratorike të Wesson është mënyra në të cilën veshka heq acidin nga gjaku dhe e hedh atë përmes urinës.</t>
  </si>
  <si>
    <t>Dietas mágicas y promesas de alimentos: mitos, realidad y riesgos</t>
  </si>
  <si>
    <t>El Eco de Tandil</t>
  </si>
  <si>
    <t>Este fenómeno es explorado por autores como Michael Pollan, Marion Nestle y Timothy Caulfield quienes examinan cómo el marketing y las industrias manipulan el deseo de salud.
Las dietas mágicas son populares precisamente porque apelan al deseo de obtener resultados rápidos y sin esfuerzo.</t>
  </si>
  <si>
    <t>CityNews Halifax</t>
  </si>
  <si>
    <t>KHBS/KHOG-TV (Rogers, AR)</t>
  </si>
  <si>
    <t>A century of change in how we eat</t>
  </si>
  <si>
    <t>KJZZ-FM (Phoenix, AZ)</t>
  </si>
  <si>
    <t>KWWL-TV (Waterloo, IA)</t>
  </si>
  <si>
    <t>New England Cable News (NECN)</t>
  </si>
  <si>
    <t>Tri-City News</t>
  </si>
  <si>
    <t>WSB-AM (Atlanta, GA)</t>
  </si>
  <si>
    <t>Here Are the Ultraprocessed Foods You Most Need to Avoid, According to a 30-year Study</t>
  </si>
  <si>
    <t>NTD Television</t>
  </si>
  <si>
    <t>Marion Nestle, the Paulette Goddard professor emerita of nutrition, food studies and public health at New York University.
Do We Need to Get Rid of All Ultraprocessed Foods?</t>
  </si>
  <si>
    <t>WNJU-TV, Telemundo/47 (Linden, New Jersey)</t>
  </si>
  <si>
    <t>KVIA-TV (El Paso, TX)</t>
  </si>
  <si>
    <t>Jogurt može povoljno djelovati na rizik za dijabetes tip 2</t>
  </si>
  <si>
    <t>Prigorski.hr</t>
  </si>
  <si>
    <t>Marion Nestle, profesorica nutricionizma, zdrave hrane i javnog zdravstva Sveučilišta New Yor kritizirala je odluku upitavši: “Zašto bi bilo koja razumna osoba mislila da je sve što trebate učiniti kako biste spriječili dijabetes tipa 2 konzumirati 2 šalice jogurta tjedno?”.</t>
  </si>
  <si>
    <t>Does consuming yogurt really reduce risk of Type 2 diabetes?</t>
  </si>
  <si>
    <t>Al Bawaba</t>
  </si>
  <si>
    <t>Texas Public Radio (San Antonio, TX)</t>
  </si>
  <si>
    <t>The News-Gazette (Champaign, IL)</t>
  </si>
  <si>
    <t>KDEN-TV (Denver, CO)</t>
  </si>
  <si>
    <t>Sun Journal (Lewiston, ME)</t>
  </si>
  <si>
    <t>Yogurt Gets Nod from FDA: Limited Evidence Suggests Reduction in Type 2 Diabetes Risk</t>
  </si>
  <si>
    <t>Tech Times</t>
  </si>
  <si>
    <t>Food policy expert Marion Nestle criticized qualified health claims based on limited evidence as "ridiculous on their face," suggesting individuals who believe in such claims should do so with the understanding that they lack robust evidentiary support.</t>
  </si>
  <si>
    <t>Arab Times Kuwait</t>
  </si>
  <si>
    <t>Marion Nestle, a food policy expert, said qualified health claims based on limited evidence are “ridiculous on their face.”
This news has been read 41 times!</t>
  </si>
  <si>
    <t>‘Make America Healthy Again’: RFK Jr. Wins Over Fans by Stoking Food Toxin Fear</t>
  </si>
  <si>
    <t>Insurance Journal</t>
  </si>
  <si>
    <t>Fact Check: Sodium Bicarbonate In Bottled Water Does NOT Cause 'Severe Side Effects'</t>
  </si>
  <si>
    <t>Lead Stories</t>
  </si>
  <si>
    <t>In 2014, Time (archived here) interviewed Marion Nestle (archived here), a professor of nutrition, food studies, and public health at New York University, and Bob Mahler (archived here), a soil science and water quality professor at the University of Idaho, to address some of the most common additives</t>
  </si>
  <si>
    <t>WNCT-TV (Greenville, NC)</t>
  </si>
  <si>
    <t>The Sun News</t>
  </si>
  <si>
    <t>WQOW-TV (Eau Claire, WI)</t>
  </si>
  <si>
    <t>C4 and Bryan Nehman</t>
  </si>
  <si>
    <t>WUSF-FM (Tampa, FL)</t>
  </si>
  <si>
    <t>The Beaumont Enterprise</t>
  </si>
  <si>
    <t>The Press-Enterprise</t>
  </si>
  <si>
    <t>The Island Packet</t>
  </si>
  <si>
    <t>hayat.ba</t>
  </si>
  <si>
    <t>NAMIRNICA KOJU ČESTO KORISTIMO DJELUJE PROTIV DIJABETESA?</t>
  </si>
  <si>
    <t>KAAL-TV (Austin, MN)</t>
  </si>
  <si>
    <t>The Winchester Star (Winchester, VA)</t>
  </si>
  <si>
    <t>Adakah pemanis tiruan lebih selamat berbanding gula?</t>
  </si>
  <si>
    <t>BERITA Mediacorp</t>
  </si>
  <si>
    <t>Oleh itu, untuk menyelesaikan isu ini, para saintis perlu melakukan kajian yang dapat mengukur bagaimana pengganti gula memberi kesan kepada kesihatan manusia secara langsung dalan jangka masa panjang, menurut Marion Nestle, seorang profesor emeritus pemakanan, pendidikan makanan dan kesihatan awam di</t>
  </si>
  <si>
    <t>Tri-City Herald</t>
  </si>
  <si>
    <t>Burnaby Now</t>
  </si>
  <si>
    <t>WETM-TV (Elmira, NY)</t>
  </si>
  <si>
    <t>Merced Sun-Star</t>
  </si>
  <si>
    <t>"If the right wing wants to make America healthy again, I think that's fantastic," Marion Nestle, a nutrition professor emerita at New York University, told the Wall Street Journal.
Related Articles 
This story was originally published November 15, 2024, 2:53 AM.</t>
  </si>
  <si>
    <t>St. Catharines Standard</t>
  </si>
  <si>
    <t>Marin Independent Journal</t>
  </si>
  <si>
    <t>North Shore News</t>
  </si>
  <si>
    <t>What Will Health and Fitness Look Like in 2024? We Asked Some Experts.</t>
  </si>
  <si>
    <t>Trail Runner</t>
  </si>
  <si>
    <t>—Marion Nestle, professor emerita at New York University and author of the Food Politics blog
The Next Bro-Science Fad Will Be Inspired By Rodents
Sometime in 2024, we will learn of an epochal breakthrough in the quest for longevity.</t>
  </si>
  <si>
    <t>WICU-TV (Erie, PA)</t>
  </si>
  <si>
    <t>Oakland Press</t>
  </si>
  <si>
    <t>Belleville News-Democrat</t>
  </si>
  <si>
    <t>"If the right wing wants to make America healthy again, I think that's fantastic," Marion Nestle, a nutrition professor emerita at New York University, told the Wall Street Journal.
Related Articles 
This story was originally published November 15, 2024, 4:53 AM.</t>
  </si>
  <si>
    <t>WSNS-TV (Chicago, IL)</t>
  </si>
  <si>
    <t>WHO-TV (Des Moines, IA)</t>
  </si>
  <si>
    <t>KEZI-TV (Eugene, OR)</t>
  </si>
  <si>
    <t>Carenze igienico-sanitarie e alimenti scaduti |  multe in un fast food etnico</t>
  </si>
  <si>
    <t>Zazoom Social News</t>
  </si>
  <si>
    <t>I dati sembra essere il primo su Orizzonte Scuola Notizie. orizzontescuola
Rivoluzione nei fast food: arrivano le porzioni piccole e non sono tutti contenti - Secondo Marion Nestle, professore di nutrizione presso la New York University, la cosiddetta “distorsione delle porzioni” ha radicato l'idea</t>
  </si>
  <si>
    <t>The Sun (San Bernardino, CA)</t>
  </si>
  <si>
    <t>Daily Camera</t>
  </si>
  <si>
    <t>kefaloniapress.gr</t>
  </si>
  <si>
    <t>Daily Press (Newport News, VA)</t>
  </si>
  <si>
    <t>WAPT-TV (Jackson, MS)</t>
  </si>
  <si>
    <t>lo imperdible del 22 al 28 de marzo de 2024</t>
  </si>
  <si>
    <t>Medscape Noticias Médicas</t>
  </si>
  <si>
    <t>La bióloga molecular y nutricionista Marion Nestle, Ph. D., máster en salud pública, profesora emérita de la New York University, en Nueva York, Estados Unidos, también expresó su rechazo a la luz verde de la FDA de Estados Unidos: "La evidencia es limitada.</t>
  </si>
  <si>
    <t>Laredo Morning Times</t>
  </si>
  <si>
    <t>Stamford Advocate</t>
  </si>
  <si>
    <t>WESA-FM (Pittsburgh, PA)</t>
  </si>
  <si>
    <t>Manny’s: Book Launch Party for The Good Eater</t>
  </si>
  <si>
    <t>Mission Local</t>
  </si>
  <si>
    <t>—Marion Nestle, Professor of Nutrition, Food Studies, and Public Health, emerita, New York University, and author of Food Politics
​“Nina Guilbeault is the consummate guide to modern veganism.</t>
  </si>
  <si>
    <t>Berkeley Talks: It’s not just psychedelics that change minds, says Michael Pollan. Storytelling does, too.</t>
  </si>
  <si>
    <t>Berkeley News</t>
  </si>
  <si>
    <t>Carlo Petrini, who was the head of Slow Food, Marion Nestle, great food studies scholar at NYU, Eric Schlosser, Alice Waters. We had like seven people. And these were all the people I most admired in this space.</t>
  </si>
  <si>
    <t>The day Michael Pollan knew 'something was cooking' in Berkeley</t>
  </si>
  <si>
    <t>I put together a panel in 2003 or 4 [with] Alice Waters, Carlo Petrini, who was the founder of Slow Food from Italy, Wendell Berry, Eric Schlosser, … Marion Nestle. I was new to campus, and I booked Wheeler. Capacity of 700 seemed fine.</t>
  </si>
  <si>
    <t>Syri.net</t>
  </si>
  <si>
    <t>iNFOnews</t>
  </si>
  <si>
    <t>少量饮酒是否健康？科学观点大翻转_无忧资讯</t>
  </si>
  <si>
    <t>INFO.51.CA</t>
  </si>
  <si>
    <t>纽约大学营养学、食品研究和公共卫生的名誉教授玛丽安·内斯特尔(Marion Nestle)参与起草了这些指南。“90年代中期的证据似乎是无可辩驳的，不管你喜不喜欢。而且，那些关心酒精对社会影响的人并不喜欢这项研究。但他们当时找不到任何问题。所以，它就在那里；必须处理它。它进入了饮食指南。”
媒体也紧随其后。《纽约时报》的头版标题宣布：“美国改变态度，称酒精对健康有益。”当时的卫生助理秘书说：“我个人的看法是，适量饮酒与餐食一起是有益的。过去对饮酒有显著的偏见。从反酒精到健康益处是一个巨大的变化。”
医生们也在改变他们的论调。一位有影响力的酒精研究者，R.柯蒂斯·埃利森(R.</t>
  </si>
  <si>
    <t>The News-Herald (Willoughby, OH)</t>
  </si>
  <si>
    <t>The Bellingham Herald</t>
  </si>
  <si>
    <t>Sun Herald</t>
  </si>
  <si>
    <t>Impulsar un futuro sustentable para la industria de alimentos, el objetivo del Innovation Day de Nestlé - THE FOOD TECH - Medio de noticias líder en la Industria de Alimentos y Bebidas</t>
  </si>
  <si>
    <t>The Food Tech</t>
  </si>
  <si>
    <t>Te recomendamos: Marion Nestle hace hincapié sobre la responsabilidad de la industria alimenticia
Periodista especializada con más de 13 años en medios de comunicación.</t>
  </si>
  <si>
    <t>Monthly Prescribing Reference</t>
  </si>
  <si>
    <t>Yogurts can make claim of reducing risk of type 2 diabetes</t>
  </si>
  <si>
    <t>Spectrum News 13</t>
  </si>
  <si>
    <t>Fresno Bee</t>
  </si>
  <si>
    <t>KESQ-TV (Thousand Palms, CA)</t>
  </si>
  <si>
    <t>KUNA-TV (Indio, CA)</t>
  </si>
  <si>
    <t>Son hasta el 70% de la dieta estadounidense, pero EE.UU. no tiene una polĂtica sobre alimentos ultraprocesados</t>
  </si>
  <si>
    <t>San Luis Obispo Tribune</t>
  </si>
  <si>
    <t>What alarms health experts most about RFK Jr. is what he's leaving out of his health policy proposals</t>
  </si>
  <si>
    <t>WV News</t>
  </si>
  <si>
    <t>The Times of Northwest Indiana</t>
  </si>
  <si>
    <t>American Military News</t>
  </si>
  <si>
    <t>Iaurturile pot reduce riscul de diabet de tip 2, spune Administrația americană pentru Alimente și Medicamente. Ce părere au medicii nutriționiști</t>
  </si>
  <si>
    <t>comisarul.ro</t>
  </si>
  <si>
    <t>Tot ceea ce putem spera este ca iaurtul să fie cel puțin neîndulcit, dar din moment ce este foarte greu să găsești iaurt neîndulcit, acest lucru le spune oamenilor care vor să evite diabetul de tip 2 că iaurturile îndulcite sunt bune pentru ei ", a declarat Marion Nestle, profesoară emerită Paulette</t>
  </si>
  <si>
    <t>WOWK-TV (Charleston, WV)</t>
  </si>
  <si>
    <t>The Daily Gazette</t>
  </si>
  <si>
    <t>WNYT-TV (Albany, NY)</t>
  </si>
  <si>
    <t>The Province</t>
  </si>
  <si>
    <t>Relaciones peligrosas | Vínculos poco transparentes entre la industria y las universidades (nota de Investigación de Kennia Velázquez y Mónica Cerbón para PopLab y CONNECTAS) julioastillero.com</t>
  </si>
  <si>
    <t>Julio Astillero Blog</t>
  </si>
  <si>
    <t>A popular new documentary shows rapid health gains from a vegan diet</t>
  </si>
  <si>
    <t>Kennebec Journal</t>
  </si>
  <si>
    <t>Nutrition professor and writer Marion Nestle discusses how the livestock lobby has worked tirelessly to make sure the national nutrition guidelines use vague, hard-to-follow statements about reducing saturated fat rather than simply saying Americans need to eat less meat.</t>
  </si>
  <si>
    <t>¿Por qué es tan difícil decirle “NO” a los alimentos ultraprocesados?</t>
  </si>
  <si>
    <t>N Digital</t>
  </si>
  <si>
    <t>Según FDA, el yogurt puede reducir el riesgo de diabetes tipo 2 de forma limitada</t>
  </si>
  <si>
    <t>Marion Nestlé, experta en políticas alimentarias, dijo que las afirmaciones calificadas sobre propiedades saludables basadas en evidencia limitada son “ridículas a primera vista”. AP</t>
  </si>
  <si>
    <t>WIAT-TV (Birmingham, AL)</t>
  </si>
  <si>
    <t>KTVN-TV (Reno, NV)</t>
  </si>
  <si>
    <t>Daily Breeze</t>
  </si>
  <si>
    <t>WAND-TV (Decatur, IL)</t>
  </si>
  <si>
    <t>အမေရိကန်တွေ ပဲ ပိုစားပြီး အသားကြီးလျှော့စားကြဖို့ ပညာရှင်တွေတိုက်တွန်း</t>
  </si>
  <si>
    <t>Burmese.voanews</t>
  </si>
  <si>
    <t>အလေးပေးပြောဆိုခြင်း မရှိခဲ့ဘဲ လူတွေအနေနဲ့ ဒါတွေကို ရှောင်ဖို့ရာပြောဖို့အတွက် လုံလောက်တဲ့ သက်သေ အထောက်အထားမရှိဘူးလို့ ပြောပါတယ်။ 
ခြုံပြောရရင်တော့ ၂၀၂၅ ကနေ ၂၀၃၀ ခုနှစ်အတွင်း အစာအစာလမ်းညွှန်ချက်ထဲမှာ အကြံပေးချက် တွေဟာ အမေရိကန်တွေနဲ့ရင်းနှီးပြီးသားကိစ္စတွေဖြစ်တယ်လို့ စားသောက်ကုန်မူဝါဒရေးရာ ကျွမ်းကျင်သူ Marion … Nestle က ပြောပါတယ်။ ‘ဒီလမ်းညွှန်ချက်က ၁၉၈၀ လောက်ကတည်းက ထုတ်လာတဲ့ လမ်းညွှန်ချက်တွေနဲ့ အတူတူပါပဲ၊ ဟင်းသီးဟင်းရွက်စားရမယ်၊ သကြား၊ ဆား၊ ပြည့်ဝဆီတွေများတဲ့ အစားအစာတွေ လျှော့စားဖို့ ဖြစ်တယ်’လို့ သူက အီးမေးလ်ကနေ ပြောထားပါတယ်။ 
အသက် ၂ နှစ်ကနေ အထက် လူတွေအတွက် ဟင်းသီးဟင်းရွက်၊ အသီးအနှံ၊ ပဲ၊ အစေ့အဆံ၊ ငါးနဲ့ ဟင်းသီးဟင်းရွက်ဆီတို့ဟာ</t>
  </si>
  <si>
    <t>Seven Days</t>
  </si>
  <si>
    <t>The study had its detractors, as nutritionist, author and public health advocate Marion Nestle pointed out recently on her Food Politics blog. But besides being "clever and adorable," Nestle wrote, the twin approach "is further evidence for the benefits of largely plant-based diets."</t>
  </si>
  <si>
    <t>La alimentación, huérfana entre monstruosos intereses</t>
  </si>
  <si>
    <t>La Crónica del Quindio</t>
  </si>
  <si>
    <t>La versión digital de The Lancet y la reconocida nutricionista Marion Nestlé han publicado artículos recientes que elogian el etiquetado y la introducción del impuesto a los ultraprocesados en Colombia. </t>
  </si>
  <si>
    <t>KMIZ-TV (Columbia, MO)</t>
  </si>
  <si>
    <t>In the Ozempic era, has ‘craveable’ lost its selling power? - ET BrandEquity</t>
  </si>
  <si>
    <t>BrandEquity.com</t>
  </si>
  <si>
    <t>“It’s an existential threat to the food industry,” said Marion Nestle , professor of nutrition, food studies and public health at New York University, US.</t>
  </si>
  <si>
    <t>Snacks Wrapped in the ‘Health Halo’ - ET BrandEquity</t>
  </si>
  <si>
    <t>New Hampshire Union Leader</t>
  </si>
  <si>
    <t>US new dietary guidelines: More beans and less red meat</t>
  </si>
  <si>
    <t>WSCV-TV (Miami, FL)</t>
  </si>
  <si>
    <t>WJTV-TV (Jackson, MS)</t>
  </si>
  <si>
    <t>The Malta Independent</t>
  </si>
  <si>
    <t>Project 2025 dietary rollbacks would limit fight against ultra-processed foods</t>
  </si>
  <si>
    <t>Democratic Underground</t>
  </si>
  <si>
    <t>This is a deregulatory agenda, said Marion Nestle, a professor of nutrition and food policy at New York University.</t>
  </si>
  <si>
    <t>Got chocolate milk? As US schools consider a ban, an old, sketchy study holds sway</t>
  </si>
  <si>
    <t>Marion Nestle, a public health advocate and nutrition professor who has written extensively about conflicts of interest in nutrition research, said: The dairy industry did a really great job of convincing people that milk was an essential food.</t>
  </si>
  <si>
    <t>Proj 2025 Dietary Rollbks Would Curb Fight Against Ultra-Process Food; Adults 42% Obese,12% Diabetes</t>
  </si>
  <si>
    <t>9 señales que te ayudarán a identificar alimentos ultraprocesados</t>
  </si>
  <si>
    <t>El Diario (Venezuela)</t>
  </si>
  <si>
    <t>Los paquetes grandes están diseñados para hacerte comer en exceso, advirtió Marion Nestle, profesora emérita de nutrición, estudios de alimentos y salud pública en la Universidad de Nueva York y autora de Soda Politics. “Si no puedes dejar de comer de paquetes grandes, deja de comprarlos”, agregó.</t>
  </si>
  <si>
    <t>Chattanooga Times Free Press</t>
  </si>
  <si>
    <t>Teens Who Eat Junk Food at Risk of Long-term Memory Problems</t>
  </si>
  <si>
    <t>Children's Health Defense</t>
  </si>
  <si>
    <t>“‘It is too easy for food manufacturers to reformulate sugar, salt and fat to meet standards for those nutrients and still produce a junk food,’ said Marion Nestle, a retired professor of nutrition, food studies and public health at New York University.”</t>
  </si>
  <si>
    <t>If Many Dairy Farm Workers Contract H5N1, We Risk a Pandemic + More</t>
  </si>
  <si>
    <t>U.S. Pushed Countries to Weaken Baby Formula Regulations, Documents Show</t>
  </si>
  <si>
    <t>patrisnews.com</t>
  </si>
  <si>
    <t>Marion Nestle στο American Journal of Public Health το 2021, διαπίστωσαν ότι τα μεγέθη των μεριδών των ανθυγιεινών επεξεργασμένων τροφίμων είναι πέντε φορές μεγαλύτερα από ό,τι στο παρελθόν. Δεδομένου ότι είναι δύσκολο να αποφύγετε όλα τα επεξεργασμένα τρόφιμα, η δρ.</t>
  </si>
  <si>
    <t>WLNS-TV (Lansing, MI)</t>
  </si>
  <si>
    <t>Georgia Public Broadcasting</t>
  </si>
  <si>
    <t>Richmond News</t>
  </si>
  <si>
    <t>Capitalisn’t: The Money behind Ultraprocessed Foods</t>
  </si>
  <si>
    <t>chicagobooth.edu</t>
  </si>
  <si>
    <t>Marion Nestle: I define it as you can’t make it in your home kitchen.
Luigi: Which is pretty much the same definition.
Marion Nestle: Maybe we’re saying the same thing.</t>
  </si>
  <si>
    <t>A Lot Of What RFK Says Is Bulls**t - But Not Everyone Dunking On Him Is Right, Either</t>
  </si>
  <si>
    <t>Yahoo News New Zealand</t>
  </si>
  <si>
    <t>Marion Nestle, the Paulette Goddard Professor of Nutrition, Food Studies, and Public Health Emerita at New York University, who is also a molecular biologist, nutritionist and public health advocate, has some sage advice.</t>
  </si>
  <si>
    <t>Twinkies owner declares ‘snacking continues’ even under RFK Jr.’s ‘Make America Healthy Again’ agenda</t>
  </si>
  <si>
    <t>“The food industry ought to be quaking in its boots, but they don’t think it’s going to happen,” Marion Nestle, a nutrition and food policy expert at New York University, told CNN.</t>
  </si>
  <si>
    <t>KUOW-FM (Seattle, WA)</t>
  </si>
  <si>
    <t>It's also quite salty and high in fat, so it falls in the category of enjoy in moderation," said Marion Nestle, professor of nutrition, food studies and public health at New York University, in an email to NPR.</t>
  </si>
  <si>
    <t>How to choose dry dog food and cat food</t>
  </si>
  <si>
    <t>Manila Standard</t>
  </si>
  <si>
    <t>Marion Nestle, Ph.D., M.P.H., a human nutrition expert and author of the critically acclaimed What to Eat, has teamed up with Malden C.</t>
  </si>
  <si>
    <t>Namirnica koju često koristimo može povoljno djelovati na rizik za dijabetes tip 2</t>
  </si>
  <si>
    <t>Zimo.hr</t>
  </si>
  <si>
    <t>Marion Nestle, profesorica nutricionizma, zdrave hrane i javnog zdravstva Sveučilišta New Yor kritizirala je odluku upitavši: Zašto bi bilo koja razumna osoba mislila da je sve što trebate učiniti kako biste spriječili dijabetes tipa 2 konzumirati 2 šalice jogurta tjedno?.</t>
  </si>
  <si>
    <t>Marion Nestle, a nutritionist and molecular biologist, echoed Passerrello's sentiments, adding that "qualified health claims are ridiculous on their face."
"Why would any sensible person think that all you have to do to prevent type 2 diabetes is eat 2 cups of yogurt a week?"</t>
  </si>
  <si>
    <t>Marion Nestle, the Paulette Goddard Professor Emerita of Nutrition, Food Studies and Public Health at New York University. She was not involved in the research.
"We've known this for a long time but it's good to have less kidney disease added to the benefits," she said.
Why should you avoid acid?</t>
  </si>
  <si>
    <t>El Diario de Chihuahua</t>
  </si>
  <si>
    <t>KITV-TV (Honolulu, HI)</t>
  </si>
  <si>
    <t>Head Topics</t>
  </si>
  <si>
    <t>Sosyal medyada çığ gibi büyüyen tehlike: Çiğ süt içme çılgınlığı!</t>
  </si>
  <si>
    <t>EGE HABER</t>
  </si>
  <si>
    <t>Marion Nestle, çiğ süt trendinden duyduğu endişeyi dile getirirken, “Sütün pastörize edilmesi, 20. yüzyılın en büyük halk sağlığı başarılarından biridir. Vaktiyle çiğ inek sütü verilen bebekler ölürdü. Sütün pastörize edilmesi, işlenmiş gıda olduğunu göstermez.</t>
  </si>
  <si>
    <t>Dobre bakterije u jogurtu brinu se o probavnom sustavu</t>
  </si>
  <si>
    <t>Glas Slavonije</t>
  </si>
  <si>
    <t>Marion Nestle, profesorica nutricionizma, zdrave hrane i javnog zdravstva Sveučilišta New York, kritizirala je odluku upitavši: "Zašto bi bilo koja razumna osoba mislila da je sve što trebate učiniti kako biste spriječili dijabetes tipa 2 konzumirati dvije šalice jogurta tjedno?"</t>
  </si>
  <si>
    <t>Stacker</t>
  </si>
  <si>
    <t>Dunya News</t>
  </si>
  <si>
    <t>KOB-TV (Albuquerque, NM)</t>
  </si>
  <si>
    <t>outraspalavras.net</t>
  </si>
  <si>
    <t>Starting Right Now—“Restaurants and Farms: A Key Solution to the Climate Crisis” at Climate Week NYC - Food Tank: The Food Think Tank</t>
  </si>
  <si>
    <t>Deal Town</t>
  </si>
  <si>
    <t>Provisions; Brandon Lombardi, Sprouts Farmers Market; Hunter Lovins, NOW Partners Foundation; Ron Mardesen, Niman Ranch; Anne
McBride, The James Beard Foundation; Bill McKibben, American environmentalist and author; Qiana Mickie, Office of Urban
Agriculture, New York City; Eric Mittenthal, Meat Institute; Marion … Nestle, New York University; Liz Neumark, Great Performances;
Lotanna Obodozie, The National Young Farmers Coalition; Fernanda Facchini, Natura; Clare Reichenbach, James Beard Foundation;
Dorothy Shaver, Unilever; Chloe Sorvino, Forbes; Tara Smith Swibel, Terra Regenerative Capital and Teens for Food</t>
  </si>
  <si>
    <t>Final Climate Week Summit Starts RIGHT NOW: “The Role of Technology at The Nexus of Affordability, Nutrition, and Food Waste.”</t>
  </si>
  <si>
    <t>Recovery Network; Sam Kass, political advisor and chef; Brandon Lombardi, Sprouts Farmers Markets; Kat Morgan,
The Rockefeller Foundation; Dariush Mozaffarian, Food is Medicine Institute at Tufts University; Priyanka Naik, NYC based
sustainable chef and Food Network champion; Nishant Roy, Chobani; Marion … Nestle, New York University; Stacey Vanek Smith,
Bloomberg; Erika Thiem, Feeding America, Angel Veza, ReFed; Food Tank: The Food Think Tank Washington, Rise and Root Farm; Alice
Waters, Chef, Activist and Best-Selling Author, and Marc Zornes, Winnow. </t>
  </si>
  <si>
    <t>Imagine If We Elected Policymakers Who Are Citizen Eaters Just Like Us!</t>
  </si>
  <si>
    <t>MARION NESTLE AND DR.</t>
  </si>
  <si>
    <t>The Infernal Triangle: Dr. Strangekennedy</t>
  </si>
  <si>
    <t>Of course, were someone like Jake Tapper serious about his concern for our food system, he could have featured heroic critics like
Marion Nestle on his shows all these years. But, as Kamala Harris used to say, these pundits not serious people.</t>
  </si>
  <si>
    <t>How to find the best nuts and seeds</t>
  </si>
  <si>
    <t>“People think nuts are fattening because they’re high in fat,” explains Marion Nestle, the Paulette Goddard professor emerita of
nutrition, food studies, and public health at New York University. That may lead people to avoid them.
Enter the nut industry.</t>
  </si>
  <si>
    <t>5 fitness beliefs I've changed my mind on:</t>
  </si>
  <si>
    <t>Many years ago, I read Marion Nestle’s Why Calories Count. Ilearned about Metabolic Chambers.</t>
  </si>
  <si>
    <t>KRDO-TV (Colorado Springs, CO)</t>
  </si>
  <si>
    <t>WSYR-TV (East Syracuse, NY)</t>
  </si>
  <si>
    <t>WSAV-TV (Savannah, GA)</t>
  </si>
  <si>
    <t>Wichita Eagle</t>
  </si>
  <si>
    <t>Lincoln Journal Star</t>
  </si>
  <si>
    <t>Winnipeg Sun</t>
  </si>
  <si>
    <t>Χρήσιμες συμβουλές για να επιταχύνετε την απώλεια βάρους μετά τα 40</t>
  </si>
  <si>
    <t>pelop.gr</t>
  </si>
  <si>
    <t>Marion Nestle στο American Journal of Public Health το 2021, διαπίστωσαν ότι τα μεγέθη των μεριδών των ανθυγιεινών επεξεργασμένων τροφίμων είναι πέντε φορές μεγαλύτερα από ό,τι στο παρελθόν. Δεδομένου ότι είναι δύσκολο να αποφύγετε όλα τα επεξεργασμένα τρόφιμα, η δρ.</t>
  </si>
  <si>
    <t>Analiza  - Do të ndryshojë mënyrën  si hanë dhe pinë amerikanët/ A mundet RFK Jr ta bëjë sërish të shëndetshme dietën e Amerikës?</t>
  </si>
  <si>
    <t>"Ajo që ai sugjeron është të merret me industrinë ushqimore," tha ish-profesorja e ushqimit në Universitetin e Nju Jorkut, Marion Nestle. “A do ta mbështesë Trump për këtë? Do ta besoj kur ta shoh.”</t>
  </si>
  <si>
    <t>Inkl</t>
  </si>
  <si>
    <t>The Link Between Pets And Health Is Massively Misunderstood</t>
  </si>
  <si>
    <t>What caused the listeria outbreak?</t>
  </si>
  <si>
    <t>Some food policy experts like Marion Nestle and Ricardo Salvador have proposed reorganizing the FDA and USDA into a “department of food and well-being” that would refocus food policy on helping consumers stay healthy rather than on helping farms and food businesses with subsidies and lax regulations.</t>
  </si>
  <si>
    <t>Food safety experts are “absolutely horrified” by the growing raw milk trend, says Dr Marion Nestle, the Paulette Goddard professor emerita of nutrition, food studies and public health at New York University.</t>
  </si>
  <si>
    <t>What is "naturally flavored" foods?</t>
  </si>
  <si>
    <t>Processed foods: A public health crisis?</t>
  </si>
  <si>
    <t>Dietary guidelines become mired in war over alcohol safety - Roll Call</t>
  </si>
  <si>
    <t>Is Fido actually good for you?</t>
  </si>
  <si>
    <t>Coke, Pepsi, or organic blueberry? Eye-catching "better-for-you" sodas reignite the cola wars</t>
  </si>
  <si>
    <t>Marion Nestle, an emeritus professor of nutrition at New York University and author of "Soda Politics," tells the Post: "If they're marketing them as having a major prebiotic effect, that's an exaggeration. The evidence behind it? Not so strong."</t>
  </si>
  <si>
    <t>FDA Allows Yogurt Claim To Reduce Diabetes Risk</t>
  </si>
  <si>
    <t>Food policy expert Marion Nestle criticized qualified health claims based on limited evidence as 'ridiculous.'</t>
  </si>
  <si>
    <t>WRCB-TV (Chattanooga, TN)</t>
  </si>
  <si>
    <t>A diet high in fruits &amp; vegetables may reduce risk of heart &amp; kidney disease, study says</t>
  </si>
  <si>
    <t>Robert Kennedy Jr.: la ficha polémica de Trump que apunta a un revolcón en la salud de EE. UU.</t>
  </si>
  <si>
    <t>Acento</t>
  </si>
  <si>
    <t>Marion Nestle, profesora emérita de Nutrición, Estudios de Alimentación y Salud Pública en la Universidad de Nueva York, afirmó en entrevista con France 24 que las empresas, a menudo, financian investigaciones y ejercen presión a los agentes federales para proteger sus intereses. </t>
  </si>
  <si>
    <t>Η βιομηχανία τροφίμων θέλει να χάνουμε τον έλεγχο – Τώρα αντιμέτωπη με υπαρξιακή απειλή | Moneyreview.gr</t>
  </si>
  <si>
    <t>Money Review</t>
  </si>
  <si>
    <t>«Πρόκειται για μια υπαρξιακή απειλή στη βιομηχανία τροφίμων και σίγουρα μια υπαρξιακή απειλή στη βιομηχανία επεξεργασμένων τροφίμων», δήλωσε στους New York Times η Marion Nestle, επίτιμη καθηγήτρια διατροφολογίας, επιστήμης τροφίμων και δημόσιας υγείας στο NYU.</t>
  </si>
  <si>
    <t>Yogurts can make limited claim that the food reduces risk of type 2 diabetes, FDA says - ET HealthWorld</t>
  </si>
  <si>
    <t>ET Healthworld</t>
  </si>
  <si>
    <t>Marion Nestle , a food policy expert, said qualified health claims based on limited evidence are "ridiculous on their face.""Translation: If you want to believe this, go ahead, but it's not on the basis of evidence," she said.</t>
  </si>
  <si>
    <t>the Grio</t>
  </si>
  <si>
    <t>China.org.cn</t>
  </si>
  <si>
    <t>Στην κορυφή το μαγνήσιο για την υγεία του εγκεφάλου!</t>
  </si>
  <si>
    <t>el.gr</t>
  </si>
  <si>
    <t>«Περισσότερο από το μισό μαγνήσιο του σώματος αποθηκεύεται στα οστά, επομένως το τεστ δεν μπορεί να σας δώσει μια πλήρη εικόνα», εξηγεί η Marion Nestle, επίτιμη καθηγήτρια διατροφής, μελετών τροφίμων και δημόσιας υγείας στο Πανεπιστήμιο της Νέας Υόρκης στη Νέα Υόρκη.</t>
  </si>
  <si>
    <t>WSLS-TV (Roanoke, VA)</t>
  </si>
  <si>
    <t>WBOY-TV (Clarksburg, WV)</t>
  </si>
  <si>
    <t>WDTN-TV (Dayton, OH)</t>
  </si>
  <si>
    <t>Las Vegas Sun</t>
  </si>
  <si>
    <t>Instituto Humanitas Unisinos</t>
  </si>
  <si>
    <t>O Guia Alimentar para a População Brasileira, lançado em 2014, foi chamado por Marion Nestle, professora emérita da Universidade de Nova York, e estrela na luta por alimentação saudável, como “o melhor do mundo”.</t>
  </si>
  <si>
    <t>Marion Nestle: Food Politics: How the Food Industry Influences Nutrition and Health, University of California Press, Berkeley, 2003.
14. Margaret Chan: «Alocución de la Dra. Margaret Chan, Directora General, a la 66.ª Asamblea Mundial de la Salud», 20/5/2013, disponible aqui.
15. P.</t>
  </si>
  <si>
    <t>KGET-TV (Bakersfield, CA)</t>
  </si>
  <si>
    <t>Reduce Sodium Intake to Reduce Blood Pressure – Mother Earth News</t>
  </si>
  <si>
    <t>Mother Earth News</t>
  </si>
  <si>
    <t>As well-known nutritionist Marion Nestle explains in her book, What to Eat (North Point Press, 2006), salt is a cheap means of adding “flavor” to processed foods and extending shelf life. Plus, it makes us thirsty so we buy more beverages.</t>
  </si>
  <si>
    <t>KPBS-TV (San Diego, CA)</t>
  </si>
  <si>
    <t>The Good Men Project</t>
  </si>
  <si>
    <t>From Added Sugar to Sodium, Here’s How US Dietary Recommendations Have Changed Over the Last 50 Years</t>
  </si>
  <si>
    <t>East Bay Times</t>
  </si>
  <si>
    <t>Jonel Aleccia
Associated Press
Published: December 10, 2024 at 2:51 PM
Tags: Washington news, Marion Nestle, Robert F.</t>
  </si>
  <si>
    <t>How food giants like Nestlé are adapting to the Ozempic revolution</t>
  </si>
  <si>
    <t>The Grocer</t>
  </si>
  <si>
    <t>“The jury’s still out on how good these drugs really are,” says Marion Nestle, an emeritus professor of nutrition, food studies and public health at New York University. “It’s very unclear how this will play out.”
The second is cost.</t>
  </si>
  <si>
    <t>酸奶或降糖尿病風險
FDA允廠商宣傳功效</t>
  </si>
  <si>
    <t>Sing Tao Daily (USA)</t>
  </si>
  <si>
    <t>食品政策專家內斯特爾（Marion Nestle）表示，基於有限證據的健康好處聲明「很荒謬」，「這等於告訴消費者：如果你想相信這一點，那就相信吧，但這不是基於證據」。 本報訊</t>
  </si>
  <si>
    <t>CityNews Kitchener</t>
  </si>
  <si>
    <t>Your Chicken Dinner Could Be Contaminated. Should You Be Concerned?</t>
  </si>
  <si>
    <t>Marion Nestle,a molecular biologist who has studied and taught food science for decades and was interviewed in the documentary, told HuffPost that the conditions conventionally-raised chickens are kept in can spread disease.</t>
  </si>
  <si>
    <t>Breakfast Is The Most Important Meal Of The Day - Or Is It?</t>
  </si>
  <si>
    <t>WHEC-TV (Rochester, NY)</t>
  </si>
  <si>
    <t>WIVB-TV (Buffalo, NY)</t>
  </si>
  <si>
    <t>Trump has nominated Kennedy to lead the Department of Health and Human Services (REUTERS)
“The food industry ought to be quaking in its boots, but they don’t think it’s going to happen,” Marion Nestle, a nutrition and food policy expert at New York University, told CNN.</t>
  </si>
  <si>
    <t>Are Pets Really Good for Your Health? This Psychologist Isn't Convinced</t>
  </si>
  <si>
    <t>ZME Science</t>
  </si>
  <si>
    <t>Omaha World-Herald</t>
  </si>
  <si>
    <t>KTAR-FM (Phoenix, AZ)</t>
  </si>
  <si>
    <t>WROC-TV (Rochester, NY)</t>
  </si>
  <si>
    <t>The Biden Administration Pressured Countries to Weaken Baby Formula Health Rules</t>
  </si>
  <si>
    <t>Truthout</t>
  </si>
  <si>
    <t>Big Soda ha manipolato la scienza per vendere più bibite</t>
  </si>
  <si>
    <t>Il Fatto Alimentare</t>
  </si>
  <si>
    <t>Occorrerà aspettare fino al 2015, quando Marion Nestle, la nutrizionista di New York da decenni in prima fila nella battaglia contro lo zucchero (e i grassi e il sale e il cibo poco sano in generale) scrive un altro libro, intitolato Soda Politics: affrontare Big Soda (e vincere), suggellando così la</t>
  </si>
  <si>
    <t>misure drastiche come con il tabacco?</t>
  </si>
  <si>
    <t>Tutto questo si ritrova anche nel settore degli ultra processati, come denunciano da anni, per lo più inascoltati, nutrizionisti come Marion Nestle, e come è stato dimostrato con documenti segreti per le aziende che producono bevande zuccherate.</t>
  </si>
  <si>
    <t>RFK Jr. claims Canadian Froot Loops are healthier, with just 3 ingredients. They actually have 17.</t>
  </si>
  <si>
    <t>Anchorage Daily News</t>
  </si>
  <si>
    <t>“That seems to be enough to discourage their use,” said Marion Nestle, former chair of New York University’s nutrition and food studies program.</t>
  </si>
  <si>
    <t>KOAT-TV (Albuquerque, NM)</t>
  </si>
  <si>
    <t>Marion Nestle, the Paulette Goddard professor emerita of nutrition, food studies and public health at New York University.Do we need to get rid of all ultraprocessed foods?Song wouldn't necessarily advise a complete rejection of all ultraprocessed foods because it is a diverse category, he said."</t>
  </si>
  <si>
    <t>Marion Nestle, the Paulette Goddard Professor Emerita of Nutrition, Food Studies and Public Health at New York University. She was not involved in the research."</t>
  </si>
  <si>
    <t>Tacoma News Tribune</t>
  </si>
  <si>
    <t>WHAM-TV (Rochester, NY)</t>
  </si>
  <si>
    <t>Movie Review: ‘Food, Inc. 2’ revisits food system, sees reason for frustration</t>
  </si>
  <si>
    <t>Waterloo Region Record</t>
  </si>
  <si>
    <t>The Makers of 'Food, Inc.' Release Sequel Documentary</t>
  </si>
  <si>
    <t>Marion Nestle told CNN Medical Correspondent Meg Tirrell on the Chasing Life podcast recently.
We have summarized this news so that you can read it quickly. If you are interested in the news, you can read the full text here.</t>
  </si>
  <si>
    <t>Findings in this study were consistent with hundreds of others in the field, but what makes this one unique is its parsing out of different subgroups within the ultraprocessed food category, Dr Marion Nestle, the Paulette Goddard professor emerita of nutrition, food studies and public health at New York</t>
  </si>
  <si>
    <t>5 Tips untuk Memulai Suka Makan Sayur, Bisa dari Sayuran yang Manis</t>
  </si>
  <si>
    <t>'Banyak orang tidak menyukai sayuran karena mereka tidak terbiasa dengan rasa dan teksturnya,' kata ahli gizi Marion Nestle.Pengalaman buruk dengan sayuran di masa kecil dapat meninggalkan kesan negatif yang bertahan hingga dewasa.</t>
  </si>
  <si>
    <t>Prebiotic and probiotic beverages, like apple cider vinegar tonics and kombucha, claim to nourish and diversify the gut microbiome.Nutritionist Marion Nestle, emerita professor of nutrition, food studies, and public health at New York University, says evidence on probiotics is still “.”</t>
  </si>
  <si>
    <t>The Morning Call</t>
  </si>
  <si>
    <t>WJAX-TV (Jacksonville, FL)</t>
  </si>
  <si>
    <t>Nutrition experts weigh in on U.S. dietary guidelines</t>
  </si>
  <si>
    <t>WKOW-TV (Madison, WI)</t>
  </si>
  <si>
    <t>The Columbian</t>
  </si>
  <si>
    <t>Is ultra-processed food unhealthy?</t>
  </si>
  <si>
    <t>Ultra-processed foods, said nutritionist Marion Nestle, are “industrially produced foods formulated to be irresistibly delicious that can’t be made in home kitchens.”</t>
  </si>
  <si>
    <t>5 υγιεινές και νόστιμες επιλογές για να αντικαταστήσετε τα γλυκά</t>
  </si>
  <si>
    <t>madata.gr</t>
  </si>
  <si>
    <t>Είναι επίσης αρκετά αλμυρό και πλούσιο σε λιπαρά, επομένως εμπίπτει στην κατηγορία της απόλαυσης με μέτρο», δήλωσε στο NPR η Marion Nestle, καθηγήτρια διατροφής, μελετών τροφίμων και δημόσιας υγείας στο Πανεπιστήμιο της Νέας Υόρκης.</t>
  </si>
  <si>
    <t>WPBF-TV (Palm Beach Gardens, FL)</t>
  </si>
  <si>
    <t>Tulsa World</t>
  </si>
  <si>
    <t>New Haven Register</t>
  </si>
  <si>
    <t>Studimi: ngrënia e më shumë frutave e perime ulë rrezikun nga sëmundjet e zemrës e veshkave</t>
  </si>
  <si>
    <t>Koha</t>
  </si>
  <si>
    <t>Doktori Marion Nestle nga Universiteti i New Yorkut ka thënë se studimi është pjesë e literaturës në rritje, e cila tregon për ndikimin që kanë frutat e perimet në jetën e njeriut.</t>
  </si>
  <si>
    <t>Schools lack appetite for Lunchables | Arkansas Democrat Gazette</t>
  </si>
  <si>
    <t>Arkansas Democrat Gazette</t>
  </si>
  <si>
    <t>KSBW-TV (Salinas, CA)</t>
  </si>
  <si>
    <t>Yahoo News Malaysia</t>
  </si>
  <si>
    <t>超加工食品和早逝相關 哪些最應避免食用</t>
  </si>
  <si>
    <t>KHON-TV (Honolulu, HI)</t>
  </si>
  <si>
    <t>Ultra-processed food is so addictive because it’s ‘predigested’?</t>
  </si>
  <si>
    <t>Cele|bitchy</t>
  </si>
  <si>
    <t>Fighting the system: But we are paying a price, said Marion Nestle, the Paulette Goddard professor emerita of nutrition, food studies and public health at New York University, who has written books on food industry politics.</t>
  </si>
  <si>
    <t>CenturyLink</t>
  </si>
  <si>
    <t>Health Advocates Sue FDA to Remove Phthalates From Food + More</t>
  </si>
  <si>
    <t>What they’re saying: “This is the first time that I’ve heard anybody at that level talk about issues related to the food system in general and chronic disease in particular in a very, very long time,” Marion Nestle, an emerita professor of nutrition at New York University, told Axios.</t>
  </si>
  <si>
    <t>2025 Dietary Guidelines Recommendations ‘Would Almost Certainly Harm Our Health’</t>
  </si>
  <si>
    <t>Kennedy Jr. reportedly advocating for their removal from school lunches to Marion Nestle, New York University professor emerita, calling the committee’s “non-recommendation” a “travesty.”</t>
  </si>
  <si>
    <t>Consumer Groups Demand FDA Ban Cancer-causing Red Dye No. 3</t>
  </si>
  <si>
    <t>“In Europe where these dyes are banned — or at least they have to have warning labels on them – they use the precautionary principle which says if there is any question about the safety they don’t go into the food supply,” Marion Nestle said on CNN on Dec. 6.
“We do it the opposite way.</t>
  </si>
  <si>
    <t>Lawsuit Accuses Major Food Companies of Marketing 'Addictive' Food to Kids + More</t>
  </si>
  <si>
    <t>Lasaña que dura 25 años, avena militar y el auge de los alimentos de supervivencia</t>
  </si>
  <si>
    <t>WIRED en Español</t>
  </si>
  <si>
    <t>Según Marion Nestle, catedrática de nutrición, estudios alimentarios y salud pública de la Universidad de Nueva York, como mínimo será seguro para comer. "No se me ocurre ninguna razón por la que los alimentos secos en envases completamente herméticos y cerrados no durarían mucho.</t>
  </si>
  <si>
    <t>“Sekreti” i dietës që mund të zvogëlojë rrezikun e ggsëmundjeve të zemrës dhe veshkave</t>
  </si>
  <si>
    <t>Balkan Web</t>
  </si>
  <si>
    <t>Chế độ ăn nào vừa tốt cho bản thân lại vừa tốt cho sức khỏe hành tinh?</t>
  </si>
  <si>
    <t>Vietgiaitri.com</t>
  </si>
  <si>
    <t>The American Prospect</t>
  </si>
  <si>
    <t>Of course, were someone like Jake Tapper serious about his concern for our food system, he could have featured heroic critics like Marion Nestle on his shows all these years. But, as Kamala Harris used to say, these pundits not serious people.</t>
  </si>
  <si>
    <t>LNP</t>
  </si>
  <si>
    <t>Yahoo Movies UK</t>
  </si>
  <si>
    <t>Roll Call</t>
  </si>
  <si>
    <t>WVTM-TV (Birmingham, AL)</t>
  </si>
  <si>
    <t>Richmond Times-Dispatch</t>
  </si>
  <si>
    <t>El Caribe</t>
  </si>
  <si>
    <t>WTRF-TV (Wheeling, WV)</t>
  </si>
  <si>
    <t>Έρευνα / Γλυκαντικές ουσίες ή ζάχαρη; Τι είναι πιο ακίνδυνο;</t>
  </si>
  <si>
    <t>tvxs.gr</t>
  </si>
  <si>
    <t>Για να επιλυθούν πλήρως αυτά τα ζητήματα αιτίας και αποτελέσματος, οι επιστήμονες θα πρέπει να σχεδιάσουν μελέτες που να μετρούν άμεσα τον τρόπο με τον οποίο τα υποκατάστατα ζάχαρης επηρεάζουν μακροπρόθεσμα την ανθρώπινη υγεία εξηγεί στους New York Times η Marion Nestle, ομότιμη καθηγήτρια διατροφής,</t>
  </si>
  <si>
    <t>Idaho Statesman</t>
  </si>
  <si>
    <t>Yahoo Style Singapore</t>
  </si>
  <si>
    <t>More Beans and Less Red Meat: Nutritionists Weigh In on Us Dietary Guidelines</t>
  </si>
  <si>
    <t>VINnews</t>
  </si>
  <si>
    <t>Marion Nestle, a food policy expert, said qualified health claims based on limited evidence are “ridiculous on their face.”
Listen to the VINnews podcast on:
iTunes |
Spotify |
Google Podcasts |
Stitcher |
Podbean |
Amazon</t>
  </si>
  <si>
    <t>KELO-TV (Sioux Falls, SD)</t>
  </si>
  <si>
    <t>美国拟更新饮食指南：酒精与健康关系或是最大争议</t>
  </si>
  <si>
    <t>antpedia.com</t>
  </si>
  <si>
    <t>8 ultra-processed foods and why you should never buy them</t>
  </si>
  <si>
    <t>RBC-Ukraine</t>
  </si>
  <si>
    <t>Professor Marion Nestle, a food policy expert and professor of nutrition at New York University, explained that ultra-processed foods represent one of the most profitable sectors for food companies. As consumption of these products increases, so does the incidence of cancer and diabetes.</t>
  </si>
  <si>
    <t>Yogurts Can Make Limited Claim Food Reduces Risk of Type 2 Diabetes, FDA Says</t>
  </si>
  <si>
    <t>Marion Nestle, a food policy expert, said qualified health claims based on limited evidence are “ridiculous on their face.”
“Translation: If you want to believe this, go ahead, but it's not on the basis of evidence,” she said.
(Copyright 2024 The Associated Press. All rights reserved.</t>
  </si>
  <si>
    <t>WMTW-TV (Auburn, ME)</t>
  </si>
  <si>
    <t>Food Safety News</t>
  </si>
  <si>
    <t>WHDH-TV (Boston, MA)</t>
  </si>
  <si>
    <t>WPTZ-TV (South Burlington, VT)</t>
  </si>
  <si>
    <t>Lexington Herald-Leader</t>
  </si>
  <si>
    <t>Buffalo News</t>
  </si>
  <si>
    <t>Dayton Daily News</t>
  </si>
  <si>
    <t>Eating yogurt may reduce risk of type 2 diabetes, FDA says</t>
  </si>
  <si>
    <t>少量饮酒是否健康？科学观点的大翻转</t>
  </si>
  <si>
    <t>jandan.net</t>
  </si>
  <si>
    <t>WLKY-TV (Louisville, KY)</t>
  </si>
  <si>
    <t>KSNC-TV (Great Bend, KS)</t>
  </si>
  <si>
    <t>WJCL-TV (Savannah, GA)</t>
  </si>
  <si>
    <t>El Vocero</t>
  </si>
  <si>
    <t>Nghiên cứu dài 30 năm chỉ ra các thức ăn đóng hộp cần tránh</t>
  </si>
  <si>
    <t>Nguoi Viet Daily News</t>
  </si>
  <si>
    <t>Các khám phá trong nghiên cứu tác động của thực phẩm chế biến quá mức nhất quán với hàng trăm nghiên cứu khác trong lãnh vực này, nhưng điều làm cho nghiên cứu trở nên độc đáo là việc phân tích các phân nhóm khác nhau trong danh mục thực phẩm chế biến, Bác Sĩ Marion Nestle, giáo sư danh dự đại học New</t>
  </si>
  <si>
    <t>Large packages are designed to make you overeat, said Marion Nestle, an emeritus professor of nutrition, food studies and public health at New York University and the author of "Soda Politics." "If you can't stop eating from big packages, don't buy them," she added.</t>
  </si>
  <si>
    <t>The Chicken You Buy Could Be Contaminated. Should You Be Concerned?</t>
  </si>
  <si>
    <t>Trump, RFK vow to ‘Make America Healthy Again,’ raising hopes and doubts</t>
  </si>
  <si>
    <t>Marion Nestle, retired professor of nutrition, food studies and public health at New York University, described being stunned when she first heard the new Kennedy-Trump messaging because it paralleled “what I’ve been saying for decades: that the American diet is not healthy, that people are getting sick</t>
  </si>
  <si>
    <t>Who is Daniel Lubetzky? Snack food billionaire will replace Mark Cuban on ‘Shark Tank’.</t>
  </si>
  <si>
    <t>Forbes Australia</t>
  </si>
  <si>
    <t>Marion Nestle, a professor of nutrition, food studies and public health at New York University, described Lubetzky to Forbes as “a brilliant marketer.”
Lubetzky was born in Mexico city in 1968 to Sonia and Roman Lubetzky, a Holocaust survivor.</t>
  </si>
  <si>
    <t>The Virginian-Pilot</t>
  </si>
  <si>
    <t>WFMZ-TV (Allentown, PA)</t>
  </si>
  <si>
    <t>GBH News (Boston, MA)</t>
  </si>
  <si>
    <t>KTVZ-TV (Bend, OR)</t>
  </si>
  <si>
    <t>Xinhua News Agency (English)</t>
  </si>
  <si>
    <t>Looking for a hard-hitting documentary about food? Here's a list of the best options</t>
  </si>
  <si>
    <t>The Manual</t>
  </si>
  <si>
    <t>Genre                        
                            Documentary                        
        Stars    
        Alice Waters, Marion … Nestle, Michael Pollan    
        Directed by    
        Christopher Taylor    
                        Focusing on corporate food company mergers, the United States Farm Bill, and profit</t>
  </si>
  <si>
    <t>Is there really such a thing as a healthy soda?</t>
  </si>
  <si>
    <t>said Marion Nestle, who wrote a book on the soda industry and is an emeritus professor of nutrition, food studies and public health at New York University. “If you’re trying to cut down on sugar, that’s a way to do it.</t>
  </si>
  <si>
    <t>mondo.ba</t>
  </si>
  <si>
    <t>"Moja definicija za ultraprerađenu hranu je da ne možete da je napravite u svojoj kuhinji jer nemate mašine i nemate sastojke", rekla je stručnjakinja za politiku ishrane dr Marion Nestle za Si-En-En.</t>
  </si>
  <si>
    <t>Sunak's smoking ban is a fight between individual freedom and public health</t>
  </si>
  <si>
    <t>The Big Issue</t>
  </si>
  <si>
    <t>When plain-packaging laws came into force in 2015, Marion Nestle, an American Nutritionist questioned similar warnings.
“Let me state from the outset that foods cannot be subject to the same level of regulatory intervention as cigarettes.</t>
  </si>
  <si>
    <t>Arizona Daily Star</t>
  </si>
  <si>
    <t>WISC-TV (Madison, WI)</t>
  </si>
  <si>
    <t>Spectrum News 1 Dayton</t>
  </si>
  <si>
    <t>Εννέα μυστικά για να διακρίνετε τα υπερεπεξεργασμένα τρόφιμα</t>
  </si>
  <si>
    <t>cretalive.gr</t>
  </si>
  <si>
    <t>Yoghurt labels to outline they can lower risk of type 2 diabetes despite containing high levels of sugar</t>
  </si>
  <si>
    <t>Diabetes.co.uk</t>
  </si>
  <si>
    <t>Marion Nestle, a food policy expert, said: “Qualified health claims based on limited evidence are ridiculous on their face. Translation: If you want to believe this, go ahead, but it’s not on the basis of evidence.”</t>
  </si>
  <si>
    <t>The Portland Press Herald/Maine Sunday Telegram</t>
  </si>
  <si>
    <t>WISH-TV (Indianapolis, IN)</t>
  </si>
  <si>
    <t>FDA: Yogurts can now make limited claims that they lower type 2 diabetes risk</t>
  </si>
  <si>
    <t>Food Safety Experts Are Sharing 3 Ways To Make Sure You’re Buying The Safest Meat Possible</t>
  </si>
  <si>
    <t>Yahoo Sports Canada</t>
  </si>
  <si>
    <t>DT Next</t>
  </si>
  <si>
    <t>Marion Nestle, a food policy expert, said qualified health claims based on limited evidence are “ridiculous on their face.” 
“Translation: If you want to believe this, go ahead, but it’s not on the basis of evidence,” she said.
WellbeingYogurtU.S.</t>
  </si>
  <si>
    <t>Friday Favorites: The Role of Marketing and Food Advertisements in the Obesity Epidemic</t>
  </si>
  <si>
    <t>Nutrition Facts with Dr. Greger</t>
  </si>
  <si>
    <t>Interview with Marion Nestle. Health Promot Pract. 2008;9(1):16-8.
 Nestle M, Jacobson MF. Halting the obesity epidemic: a public health policy approach. Public Health Rep. 2000;115(1):12-24.
 Stanton RA. Food retailers and obesity. Curr Obes Rep. 2015;4(1):54-9.</t>
  </si>
  <si>
    <t>Friday Favorites: El papel del marketing y los anuncios de comida en la epidemia de obesidad</t>
  </si>
  <si>
    <t>Sun.Star</t>
  </si>
  <si>
    <t>Spectrum News 1 Columbus</t>
  </si>
  <si>
    <t>Los Angeles Daily News</t>
  </si>
  <si>
    <t>The Press Democrat</t>
  </si>
  <si>
    <t>U.S. Food and Drug Administration rules that yogurt can help reduce the risk of Type 2 diabetes</t>
  </si>
  <si>
    <t>WKBN-TV (Youngstown, OH)</t>
  </si>
  <si>
    <t>Japan Today</t>
  </si>
  <si>
    <t>KRQE-TV (Albuquerque, NM)</t>
  </si>
  <si>
    <t>WSOC-TV (Charlotte, NC)</t>
  </si>
  <si>
    <t>The Money Behind Ultra-Processed Foods, with Marion Nestle</t>
  </si>
  <si>
    <t>Player FM</t>
  </si>
  <si>
    <t>FDA: Yogurt may reduce type 2 diabetes risk</t>
  </si>
  <si>
    <t>Honolulu Star-Advertiser</t>
  </si>
  <si>
    <t>the-independent.com</t>
  </si>
  <si>
    <t>Twinkies owner declares ‘snacking continues’ even under RFK Jr.’s ‘Make America Health Again’ agenda</t>
  </si>
  <si>
    <t>零食巨頭用AI研新產品 尋最佳口味 - 20241222 - 經濟</t>
  </si>
  <si>
    <t>Ming Pao News</t>
  </si>
  <si>
    <t>紐約大學營養學、食品研究與公共衛生榮譽教授Marion Nestle認為，AI不至於改變一切，最後仍需人類試味師。美國食品百花齊放，食品商要吸引顧客注意不易，因此推出新產品或品牌分支是出路，若AI能推高效率與品質，AI自然日益受重用。Jefferies分析師Rob Dickerson稱，近年經濟嚴峻，億滋較同業「硬淨」，多少因為億滋效率迅速，能適應顧客行為。</t>
  </si>
  <si>
    <t>WHIO-TV (Dayton, OH)</t>
  </si>
  <si>
    <t>Spectrum News NY1</t>
  </si>
  <si>
    <t>O frango que compra pode estar contaminado</t>
  </si>
  <si>
    <t>noticiasdecoimbra.pt</t>
  </si>
  <si>
    <t>Marion Nestle, bióloga molecular diz que as condições em que as galinhas criadas convencionalmente são mantidas podem espalhar doenças. “As bactérias não deixam as galinhas doentes, mas podem deixar os consumidores se não forem manuseadas e cozidas adequadamente”.</t>
  </si>
  <si>
    <t>More Beans And Less Red Meat: Nutrition Experts Weigh In On US Dietary Guidelines</t>
  </si>
  <si>
    <t>Yeshiva World News</t>
  </si>
  <si>
    <t>Why exactly are ultraprocessed foods so hard to resist? This study is trying to find out</t>
  </si>
  <si>
    <t>CNA Lifestyle</t>
  </si>
  <si>
    <t>It was “the most important study done in nutrition in years,” said Marion Nestle, an emeritus professor of nutrition, food studies and public health at New York University.</t>
  </si>
  <si>
    <t>Are artificial sweeteners safer than sugar? Here's what the research suggests</t>
  </si>
  <si>
    <t>But to completely resolve these issues of cause and effect, scientists would need to design studies that directly measure how sugar substitutes affect human health in the long term, said Marion Nestle, an emeritus professor of nutrition, food studies and public health at New York University.</t>
  </si>
  <si>
    <t>Yoghurts can make limited claim that the food reduces risk of Type 2 diabetes, FDA says</t>
  </si>
  <si>
    <t>Marion Nestle, a food policy expert, said qualified health claims based on limited evidence are “ridiculous on their face”.
“Translation: If you want to believe this, go ahead, but it's not on the basis of evidence,” she said.</t>
  </si>
  <si>
    <t>Movie review: ‘Food, Inc. 2’ revisits food system, sees reason for frustration and a little hope</t>
  </si>
  <si>
    <t>Daily Herald</t>
  </si>
  <si>
    <t>WDRB-TV (Louisville, KY)</t>
  </si>
  <si>
    <t>Yahoo Style Canada</t>
  </si>
  <si>
    <t>Yahoo Sport UK</t>
  </si>
  <si>
    <t>Food Safety Experts Are Sharing 3 Ways To Make Sure You're Buying The Safest Meat Possible</t>
  </si>
  <si>
    <t>The Monoculture Made 'Super Size Me'</t>
  </si>
  <si>
    <t>HotAir</t>
  </si>
  <si>
    <t>It includes reflections from progressive public health superstars like Marion Nestle, Kelly Brownell, and lawsuit machine John Banzhaf. ...
Spurlock’s recipe worked. He cooked up Super Size Me in order to attract Eight Percenters, and it did just that.</t>
  </si>
  <si>
    <t>Daily Sabah</t>
  </si>
  <si>
    <t>The State</t>
  </si>
  <si>
    <t>WPRI-TV (Providence, RI)</t>
  </si>
  <si>
    <t>FDA: Yogurts can make limited claim that the food reduces risk of type 2 diabetes</t>
  </si>
  <si>
    <t>Yoghurts can now make limited claim that they lower type 2 diabetes risk, FDA says</t>
  </si>
  <si>
    <t>Citizen Digital</t>
  </si>
  <si>
    <t>Marion Nestle, a
nutritionist and molecular biologist, echoed Passerrello’s sentiments, adding
that “qualified health claims are ridiculous on their face.”
“Why would any sensible person
think that all you have to do to prevent type 2 diabetes is eat 2 cups of
yogurt a week?”</t>
  </si>
  <si>
    <t>Can yogurt reduce risk of Type 2 diabetes?</t>
  </si>
  <si>
    <t>FDA allows new claim that yogurt may reduce diabetes risk</t>
  </si>
  <si>
    <t>Wisconsin State Journal</t>
  </si>
  <si>
    <t>The Gazette (Colorado Springs)</t>
  </si>
  <si>
    <t>KETV-TV (Omaha, NE)</t>
  </si>
  <si>
    <t>KMBC-TV (Kansas City, MO)</t>
  </si>
  <si>
    <t>Winnipeg Free Press</t>
  </si>
  <si>
    <t>Scott Applewhite, File)
Overall, the recommendations for the 2025-2030 Dietary Guidelines for Americans sound familiar, said Marion Nestle, a food policy expert.</t>
  </si>
  <si>
    <t>Wisconsin Today</t>
  </si>
  <si>
    <t>MedPage Today</t>
  </si>
  <si>
    <t>The Hamilton Spectator (Hamilton, ON)</t>
  </si>
  <si>
    <t>Terra Madre 2024 (2) : Slow Food en colère ?</t>
  </si>
  <si>
    <t>Blogs Mediapart</t>
  </si>
  <si>
    <t>Marion Nestle (États-Unis), professeur de nutrition, d'études alimentaires et de santé publique à l'université de New York place d’emblée la surcommation de la viande comme facteur numéro en matière de santé humaine et environnementale. Contrairement aux idées de S. </t>
  </si>
  <si>
    <t>KSTP-TV (St Paul, MN)</t>
  </si>
  <si>
    <t>ArcaMax</t>
  </si>
  <si>
    <t>WXII-TV (Winston Salem, NC)</t>
  </si>
  <si>
    <t>WSVN-TV (Miami, FL)</t>
  </si>
  <si>
    <t>Pioneer Press</t>
  </si>
  <si>
    <t>East Idaho News</t>
  </si>
  <si>
    <t>How Safe Is US Food? Experts’ Verdicts After Listeria, E. Coli Outbreaks</t>
  </si>
  <si>
    <t>Dnyuz</t>
  </si>
  <si>
    <t>Marion Nestle, Professor Emerita of Nutrition, Food Studies, and Public Health, NYU
The issue with food safety is not only down to regulations, but workplace culture. We have pretty good regulations in place.</t>
  </si>
  <si>
    <t>Marion Nestle, a food policy expert, said qualified health claims based on limited evidence are “ridiculous on their face.”
(AP)</t>
  </si>
  <si>
    <t>Yogurts Can Claim To Reduces Risk Of Type 2 Diabetes, FDA Says</t>
  </si>
  <si>
    <t>Marion Nestle, a food policy expert, said qualified health claims based on limited evidence are “ridiculous on their face.”
“Translation: If you want to believe this, go ahead, but it’s not on the basis of evidence,” she said.
(AP)</t>
  </si>
  <si>
    <t>Bay News 9</t>
  </si>
  <si>
    <t>WDSU-TV (New Orleans, LA)</t>
  </si>
  <si>
    <t>WVIT-TV (West Hartford, CT)</t>
  </si>
  <si>
    <t>Oregon Public Broadcasting</t>
  </si>
  <si>
    <t>[4]           Marion Nestle, Safe Food:  Bacteria, Biotechnology, and Bioterrorism, 40-41 (1st Pub. Ed. 2004).
[5]           James M. Jay, MODERN FOOD MICROBIOLOGY at 21 (6th ed. 2000). (“This is clearly the most widely studied genus of all bacteria.”)
[6]           Beth B.</t>
  </si>
  <si>
    <t>WFTV-TV (Orlando, FL)</t>
  </si>
  <si>
    <t>The Spokesman-Review</t>
  </si>
  <si>
    <t>WCTX-TV (New Haven, CT)</t>
  </si>
  <si>
    <t>Times Colonist</t>
  </si>
  <si>
    <t>Diabetics use glucose monitors. Should non-diabetics use them too?</t>
  </si>
  <si>
    <t>Whatever," says Marion Nestle, the Paulette Goddard Professor of nutrition, food studies and public health, emerita, at New York University. "I know people who love these tests and I’ve seen people walking around with glucose monitors who do not have either type 1 or type 2.</t>
  </si>
  <si>
    <t>People spend $20,000 at this resort to uncover secrets about their health. Is it worth it?</t>
  </si>
  <si>
    <t>"(These programs) largely cater to the worried well," says Marion Nestle, the Paulette Goddard Professor of nutrition, food studies and public health, emerita, at New York University. These are "wealthier more educated people who tend to be generally healthy but worry about it."</t>
  </si>
  <si>
    <t>WRIC-TV (Richmond, VA)</t>
  </si>
  <si>
    <t>New Dietary Guidelines Could Be Big on Beans</t>
  </si>
  <si>
    <t>Newser</t>
  </si>
  <si>
    <t>"This looks like every other set of dietary guidelines since 1980: eat your veggies and reduce consumption of foods high in salt, sugar, and saturated fat," food policy expert Marion Nestle, tells the AP.</t>
  </si>
  <si>
    <t>Nestlé México y la Universidad Anáhuac México desarrollan Cátedra de Nutrición</t>
  </si>
  <si>
    <t>Reporte Indigo</t>
  </si>
  <si>
    <t>México, subrayó la importancia de la colaboración:
'Esta alianza con la Universidad Anáhuac México fusiona nuestra experiencia en tecnología alimentaria con su profundo conocimiento científico para desarrollar soluciones innovadoras que impacten positivamente en la calidad de vida de la población'
🖊📚Marion … Nestle es una académica y activista en temas de nutrición, autora de libros como “Food Politics”, “Soda Politics” y “What to Eat”
En septiembre de 2023 visitó México en una charla pública con Alejandro Calvillo de @elpoderdelc y Julieta Ponce, directora de @COANut ⬇️🧵 https://t.co/2B0yPUi36S
— Actúa</t>
  </si>
  <si>
    <t>Hartford Courant</t>
  </si>
  <si>
    <t>Yahoo Autos</t>
  </si>
  <si>
    <t>Which foods are considered 'healthy?' FDA issues new label criteria</t>
  </si>
  <si>
    <t>Marion Nestle, a nutrition expert and emeritus professor at New York University, described the new rules as "better than I thought it would be."</t>
  </si>
  <si>
    <t>“The food industry ought to be quaking in its boots, but they don’t think it’s going to happen,” Marion Nestle, a leading authority on nutrition and food policy at New York University, said in an interview last week with CNN.
A box of J.M. Smucker Co.</t>
  </si>
  <si>
    <t>St. Louis Post-Dispatch</t>
  </si>
  <si>
    <t>Fort Worth Star-Telegram</t>
  </si>
  <si>
    <t>The Next Dietary Guidelines May Punt on a Big Question in Nutrition</t>
  </si>
  <si>
    <t>Marion Nestle, a professor emerita of nutrition, food studies and public health at New York University, said that in her view, the committee set too high a bar for the studies they included in their review and left out important evidence on ultraprocessed foods.</t>
  </si>
  <si>
    <t>Are Artificial Sweeteners Safer Than Sugar?</t>
  </si>
  <si>
    <t>The Truth About Prebiotic Sodas</t>
  </si>
  <si>
    <t>— Marion Nestle, an emeritus professor of nutrition, food studies and public health at New York University, on how popular weight loss drugs like Ozempic could upend the marketing of snack foods in America.</t>
  </si>
  <si>
    <t>Why, Exactly, are Ultraprocessed Foods so Hard to Resist? This Study is Trying to Find Out.</t>
  </si>
  <si>
    <t>Restaurant Portions Are About to Get Smaller. Are Americans Ready?</t>
  </si>
  <si>
    <t>“Once you get used to larger portions, anything that looks like a normal-sized portion seems like you are getting cheated,” said Marion Nestle, an emeritus professor of nutrition, food studies and public health at New York University who has researched the link between portion size and obesity.</t>
  </si>
  <si>
    <t>Big Milk has taken over American schools</t>
  </si>
  <si>
    <t>“The nutrition community has bought that dairy foods are semi-essential without much critical thinking,” said Marion Nestle, a New York University nutrition professor and renowned author of numerous books on the food industry’s influence on nutrition research and policy. </t>
  </si>
  <si>
    <t>WTAE-TV (Pittsburgh, PA)</t>
  </si>
  <si>
    <t>Los prebióticos y probióticos, bebidas que son realmente funcionales o, ¿es únicamente marketing industrial?</t>
  </si>
  <si>
    <t>La Opinión de Zamora</t>
  </si>
  <si>
    <t>No obstante, la nutricionista y catedrática, Marion Nestle hace hincapié en que las únicas personas que debieran tomar probióticos son aquellas que han estado en tratamiento con antibióticos.</t>
  </si>
  <si>
    <t>Marion Nestle, a food policy expert, said qualified health claims based on limited evidence are “ridiculous on their face.”
The Associated Press Health and Science Department receives support from the Howard Hughes Medical Institute’s Science and Educational Media Group.</t>
  </si>
  <si>
    <t>İtibar suikastı yapan global çete mahkemelik</t>
  </si>
  <si>
    <t>GZT</t>
  </si>
  <si>
    <t>New York Üniversitesi'nde beslenme, gıda çalışmaları ve halk sağlığı profesörü Marion Nestle diyor ki: “Bir gazeteciye takip etmek istediği bir program için ücret teklif edilmişse bu işten derin bir endişe duyması gerekir."</t>
  </si>
  <si>
    <t>Spectrum News Triad</t>
  </si>
  <si>
    <t>Spectrum News Coastal NC</t>
  </si>
  <si>
    <t>WISN-TV (Milwaukee, WI)</t>
  </si>
  <si>
    <t>MPR News (Saint Paul, MN)</t>
  </si>
  <si>
    <t>WGRZ-TV (Buffalo, NY)</t>
  </si>
  <si>
    <t>Marion Nestle, a food policy expert, said qualified health claims based on limited evidence are “ridiculous on their face.”
RELATED VIDEO:</t>
  </si>
  <si>
    <t>Luv FM (Kumasi, Ghana)</t>
  </si>
  <si>
    <t>Gaslighting America (ft. Jeffrey S. Robbins) | Out of the Box with Jonathan Russo</t>
  </si>
  <si>
    <t>Acast</t>
  </si>
  <si>
    <t>Marion Nestle)
 38:01
Marion Nestle, renowned food writer and professor of nutrition, food studies, and public health, joins Jonathan to talk about the latest craze of diet injections hitting the market.</t>
  </si>
  <si>
    <t>WMUR-TV (Manchester, NH)</t>
  </si>
  <si>
    <t>5 BOLESTI KOJE MOŽE DA IZAZOVE ULTRAPRERAĐENA HRANA: Za neke namirnice i ne znate da su loše, jedna se izdvaja</t>
  </si>
  <si>
    <t>nsuzivo.rs</t>
  </si>
  <si>
    <t>“Moja definicija za ultraprerađenu hranu je da ne možete da je napravite u svojoj kuhinji jer nemate mašine i nemate sastojke”, rekla je stručnjakinja za politiku ishrane dr Marion Nestle za Si-En-En.</t>
  </si>
  <si>
    <t>WGAL-TV (Lancaster, PA)</t>
  </si>
  <si>
    <t>MyNorthwest.com</t>
  </si>
  <si>
    <t>Restaurant portions are about to get smaller. Are Americans ready?</t>
  </si>
  <si>
    <t>The Business Times (Singapore)</t>
  </si>
  <si>
    <t>Spectrum News 1 (San Antonio, Texas)</t>
  </si>
  <si>
    <t>WPXI-TV (Pittsburgh, PA)</t>
  </si>
  <si>
    <t>KFOR-TV (Oklahoma City, OK)</t>
  </si>
  <si>
    <t>I farmaci dimagranti costringono Nestlé a rivedere le ricette dei suoi prodotti</t>
  </si>
  <si>
    <t>Il Corriere del Ticino</t>
  </si>
  <si>
    <t>abitudini alimentari dei consumatori potrebbe costituire una «minaccia esistenziale per l'industria alimentare e per l'industria degli alimenti trasformati» aveva detto lo scorso gennaio al la professoressa emerita in nutrizione, studi sull'alimentazione e la salute pubblica all'Università di New York Marion … Nestle.</t>
  </si>
  <si>
    <t>Food deserts persist as Congress seeks to help</t>
  </si>
  <si>
    <t>Times Union (Albany)</t>
  </si>
  <si>
    <t>Marion Nestle, a former nutrition and public health professor at New York University, said that food insecurity “affects absolutely everything.”</t>
  </si>
  <si>
    <t>The best cereals for your health - and the ones to avoid</t>
  </si>
  <si>
    <t>AOL UK</t>
  </si>
  <si>
    <t>KCCI-TV (Des Moines, IA)</t>
  </si>
  <si>
    <t>Vancouver is Awesome</t>
  </si>
  <si>
    <t>Radiotelevizija Slovenija</t>
  </si>
  <si>
    <t>Američani ogromno hrane proizvedejo, ogromno pa je tudi zavržejo</t>
  </si>
  <si>
    <t>WNCN-TV (Raleigh, NC)</t>
  </si>
  <si>
    <t>WBAL-TV (Baltimore, MD)</t>
  </si>
  <si>
    <t>La comunità scientifica chiede alle Olimpiadi di farla finita con Coca-Cola</t>
  </si>
  <si>
    <t>Dissapore</t>
  </si>
  <si>
    <t>Molto diverso il punto di vista di Marion Nestle, professoressa di nutrizione, studi alimentari e salute pubblica alla New York University.</t>
  </si>
  <si>
    <t>WHTM-TV (Harrisburg, PA)</t>
  </si>
  <si>
    <t>KSL-TV (Salt Lake City, UT)</t>
  </si>
  <si>
    <t>Yahoo Life UK</t>
  </si>
  <si>
    <t>But food safety experts are "absolutely horrified" by the trend, Dr Marion Nestle, professor emerita of nutrition, food studies and public health at New York University told the Guardian in January.</t>
  </si>
  <si>
    <t>Here Are 3 Ways To Make Sure You're Buying The Safest Chicken Possible, According To Food Safety Experts</t>
  </si>
  <si>
    <t>The truth about raw milk and why experts are ‘absolutely horrified’ by the trend</t>
  </si>
  <si>
    <t xml:space="preserve">Ovu ultraprerađenu hranu morate izbjegavati
 </t>
  </si>
  <si>
    <t>Mojabih.oslobodjenje.ba</t>
  </si>
  <si>
    <t>Marion Nestle, profesorica emerita Paulette Goddard za prehranu, proučavanje hrane i javno zdravstvo na Univerzitetu New York.
Trebamo li se riješiti sve ultraprerađene hrane?</t>
  </si>
  <si>
    <t>WLWT-TV (Cincinnati, OH)</t>
  </si>
  <si>
    <t>El Diario Noticias de Ciudad Juárez</t>
  </si>
  <si>
    <t>‘Food, Inc. 2’ Revisits Food System, Sees Reason for Frustration and a Little Hope</t>
  </si>
  <si>
    <t>KQED Arts and Culture</t>
  </si>
  <si>
    <t>KOCO-TV (Oklahoma City, OK)</t>
  </si>
  <si>
    <t>WBUR-FM (Boston, MA)</t>
  </si>
  <si>
    <t>Newsday</t>
  </si>
  <si>
    <t>KNSD-TV (San Diego, CA)</t>
  </si>
  <si>
    <t>Amerikanci tvrde da ova hrana smanjuje rizik od dijabetesa: 'Nađite mi jedan bez šećera'</t>
  </si>
  <si>
    <t>direktno.hr</t>
  </si>
  <si>
    <t>Marion Nestle, profesorica nutricionizma, zdrave hrane i javnog zdravstva Sveučilišta New Yor kritizirala je odluku upitavši: "Zašto bi bilo koja razumna osoba mislila da je sve što trebate učiniti kako biste spriječili dijabetes tipa 2 konzumirati dvije šalice jogurta tjedno?".</t>
  </si>
  <si>
    <t>FoodNiche Changemakers: Perspectives on The Past, Present &amp; The Future of Food and Health With Dr. Marion Nestle</t>
  </si>
  <si>
    <t>iVoox Podcast and Radio</t>
  </si>
  <si>
    <t>Marion Nestle
About Dr. Marion Nestle Marion Nestle is Paulette Goddard Professor of Nutrition, Food Studies, and Public Health, Emerita, at New York University, in the department she chaired from 1988-2003 and from which she retired in September 2017.</t>
  </si>
  <si>
    <t>Dr. John Poothullill- Our “Eat More” Culture Discussed With Dr. Marion Nestle</t>
  </si>
  <si>
    <t>John Poothullill Learn more about the interview and get additional links here: https://usadailytimes.com/2024/01/22/our-eat-more-culture-discussed-with-dr-marion-nestle/ Subscribe to the best of our content here: https://priceofbusiness.substack.com/ Subscribe to our YouTube channel here: https://www.youtube.com</t>
  </si>
  <si>
    <t>The Smart Human with Dr. Aly Cohen: Fighting Industry Toxins with guest Ken Cook</t>
  </si>
  <si>
    <t>On November 2, food policy authority Michael Pollan named Cook one of “the world’s 7 most powerful
 foodies”, along with First Lady Michelle Obama, nutritionist Marion Nestle and The New York Times’
 columnist Mark Bittman.</t>
  </si>
  <si>
    <t>I’ve been trying to keep you up-to-date with the lead contamination story in Eat This Newsletter, but just last week Marion Nestle took a look at lead and pesticides in baby food.
 Here is the transcript.
 I took the photos of baby food.
    Huffduff it</t>
  </si>
  <si>
    <t>Boston Herald</t>
  </si>
  <si>
    <t>Gaskin: RFK Jr. has big opportunity to make America healthier</t>
  </si>
  <si>
    <t>Many of Kennedy’s criticisms of Big Food align with positions held for years by public health experts like Marion Nestle, a molecular biologist, nutritionist, and public health advocate.</t>
  </si>
  <si>
    <t>WYFF-TV (Greenville, SC)</t>
  </si>
  <si>
    <t>NBC DFW - KXAS-TV</t>
  </si>
  <si>
    <t>metropolitan.si</t>
  </si>
  <si>
    <t>WGHP-TV (High Point, NC)</t>
  </si>
  <si>
    <t>Orlando Sentinel</t>
  </si>
  <si>
    <t>You can't get enough: how processed foods deceive the body</t>
  </si>
  <si>
    <t>uaportal.com</t>
  </si>
  <si>
    <t>"We are paying for this with our health," says Marion Nestle, author of books on food policy. The food industry has created an environment in which we need to eat more. Foods affect the brain's pleasure centers and hormones, so it's almost impossible for people to stop eating them," Nestle says.</t>
  </si>
  <si>
    <t>Nie masz dość: jak przetworzona żywność oszukuje organizm</t>
  </si>
  <si>
    <t>"Płacimy za to naszym zdrowiem" - mówi Marion Nestle, autorka książek na temat polityki żywnościowej. Przemysł spożywczy stworzył środowisko, w którym musimy jeść więcej.</t>
  </si>
  <si>
    <t>KONTROVERZNA ODLUKA Jogurt se smije reklamirati zbog povoljnog djelovanja na rizik od dijabetesa tip 2</t>
  </si>
  <si>
    <t>Nacional</t>
  </si>
  <si>
    <t>Marion Nestle, profesorica nutricionizma, zdrave hrane i javnog zdravstva Sveučilišta New Yor kritizirala je odluku upitavši: “Zašto bi bilo koja razumna osoba mislila da je sve što trebate učiniti kako biste spriječili dijabetes tipa 2 konzumirati 2 šalice jogurta tjedno?”</t>
  </si>
  <si>
    <t>WAVY-TV (Portsmouth, VA)</t>
  </si>
  <si>
    <t>FASTING AND THE LONGEVITY REVOLUTION Doc In The Works From Edward Norton &amp; More</t>
  </si>
  <si>
    <t>BroadwayWorld</t>
  </si>
  <si>
    <t>Through the voices of recognized leaders in the field of nutrition and longevity including Valter Longo, Eric Ravussin, Marion Nestle, John Kopchick, Satchin Panda, Hanno Pijl, and Bernard Escudier, among others, the documentary reveals an "un-conspired conspiracy" centered on unhealthy food; the corporations</t>
  </si>
  <si>
    <t>Syskonen ska hjälpa RFK att ”göra USA hälsosamt igen”</t>
  </si>
  <si>
    <t>Omni</t>
  </si>
  <si>
    <t>undrar Marion Nestle, näringsprofessor emerita vid New York University.
Hon varnar för beslut utan demokratisk process, så kallat ”fiat”, och att sådant ”inte fungerar i vårt land.”
Omni är politiskt obundna och oberoende. Vi strävar efter att ge fler perspektiv på nyheterna.</t>
  </si>
  <si>
    <t>CT Insider</t>
  </si>
  <si>
    <t>'Healthy' food</t>
  </si>
  <si>
    <t>LAist</t>
  </si>
  <si>
    <t>Column: Will Ozempic change the food industry? Not yet, but give it time</t>
  </si>
  <si>
    <t>“What we don’t know, and I don’t think we’re going to know for a while, is how long people keep taking these drugs,” says Marion Nestle, a molecular biologist, nutritionist, New York University professor emeritus and public health advocate who blogs about food politics.</t>
  </si>
  <si>
    <t>THE NEW YORK TIMES: Are artificial sweeteners safer than sugar?</t>
  </si>
  <si>
    <t>The Nightly</t>
  </si>
  <si>
    <t>The Charlotte Observer</t>
  </si>
  <si>
    <t>WJXT-TV (Jacksonville, FL)</t>
  </si>
  <si>
    <t>WPLG-TV (Pembroke Park, FL)</t>
  </si>
  <si>
    <t>Post and Courier</t>
  </si>
  <si>
    <t>17 Best Food Movies on Netflix</t>
  </si>
  <si>
    <t>The Cinemaholic</t>
  </si>
  <si>
    <t>Featuring insights from experts such as Ben Chapman and Marion Nestle, the film delivers a fact fable that underscores the urgent need for action.</t>
  </si>
  <si>
    <t>Pozor na ochutené jogurty aj raňajkové cereálie. Ako rozoznať ultraspracované potraviny?</t>
  </si>
  <si>
    <t>Startitup podcasty</t>
  </si>
  <si>
    <t>„Ak nemôžete prestať jesť z veľkých balení, nekupujte ich,“ hovorí Marion Nestle, emeritná profesorka výživy, potravinových štúdií a verejného zdravia na New York University.
 Zdroje: WHO, Health, Anti Additive</t>
  </si>
  <si>
    <t>Experti odhalili zoznam najnezdravších potravín v supermarkete: Dominujú „zdravé alternatívy“</t>
  </si>
  <si>
    <t>Marion Nestle, odborníčka na potravinovú politiku, pre Daily Mail uviedla, že považovať jogurty s takýmto obsahom cukru za zdravé je neopodstatnené a smiešne. Pre tých, ktorí si chcú vychutnať mliečne výrobky, odporúča zvoliť jogurt bez pridaného ovocia.
 Zdroje: Daily Mail, Zdravopedia, WHO</t>
  </si>
  <si>
    <t>Edmonton Journal</t>
  </si>
  <si>
    <t>"This study adds to a growing body of literature on the potential physiological problems caused by artificial sweeteners," Marion Nestle, emeritus professor of nutrition at New York University, wrote in an email. "Researchers are finding problems with one after another, now xylitol."</t>
  </si>
  <si>
    <t>El Dínamo Chile</t>
  </si>
  <si>
    <t>What's a "Healthy" Food? FDA Updates Nutrition Labels</t>
  </si>
  <si>
    <t>KQED-TV (San Francisco,CA)</t>
  </si>
  <si>
    <t>Mâncarea procesată pe care trebuie să o eviți pentru o viață lungă, conform unui studiu de 30 de ani. Mezelurile sunt doar începutul problemei</t>
  </si>
  <si>
    <t>Playtech.ro</t>
  </si>
  <si>
    <t>Marion Nestle, profesor emerit de nutriție, studii alimentare și sănătate publică la Universitatea din New York.
Dr. Song nu recomandă neapărat eliminarea completă a tuturor alimentelor ultraprocesate, deoarece este o categorie diversă.</t>
  </si>
  <si>
    <t>Alimentele ultraprocesate pe care ar trebui să le eviți, potrivit unui studiu de 30 de ani. Care este cel mai periculos</t>
  </si>
  <si>
    <t>Marion Nestle, profesor emerit de nutriție. Song nu ar recomanda neapărat o respingere completă a tuturor alimentelor ultraprocesate, deoarece este o categorie diversă, a spus el.</t>
  </si>
  <si>
    <t>KOIN-TV (Portland, OR)</t>
  </si>
  <si>
    <t>WBTS-TV (Boston, MA)</t>
  </si>
  <si>
    <t>WTVJ-TV (Miami, FL)</t>
  </si>
  <si>
    <t>KIRO-TV (Seattle, WA)</t>
  </si>
  <si>
    <t>KTVX-TV (Salt Lake City, UT)</t>
  </si>
  <si>
    <t>KSAT-TV (San Antonio, TX)</t>
  </si>
  <si>
    <t>Kraft Heinz: Μπορεί ο νέος CEO να αλλάξει τα επεξεργασμένα τρόφιμα;</t>
  </si>
  <si>
    <t>ot.gr</t>
  </si>
  <si>
    <t>Λίγες μεγάλες εταιρείες τροφίμων όμως έχουν καταλάβει πώς να προωθούν με επιτυχία στην αγορά λιγότερο αλμυρά και ζαχαρούχα τρόφιμα, δήλωσε η Marion Nestle, ομότιμη καθηγήτρια διατροφής στο Πανεπιστήμιο της Νέας Υόρκης
 Πανεπιστήμιο της Νέας Υόρκης.</t>
  </si>
  <si>
    <t>Next dietary guidelines should lead with plant-based foods, scientific advisers say</t>
  </si>
  <si>
    <t>STAT</t>
  </si>
  <si>
    <t>Marion Nestle disagrees with the committee’s lack of a position.</t>
  </si>
  <si>
    <t>The Aiken Standard</t>
  </si>
  <si>
    <t>Movie Review: 'Food, Inc. 2' revisits food system, sees reason for frustration and a little hope</t>
  </si>
  <si>
    <t>Vida Estilo Yahoo</t>
  </si>
  <si>
    <t>Yahoo Lifestyle Australia</t>
  </si>
  <si>
    <t>WRC-TV (Washington, DC)</t>
  </si>
  <si>
    <t>Listín Diario</t>
  </si>
  <si>
    <t>Zakaj je močno predelana hrana tako okusna in zakaj jo je težko nehati jesti?</t>
  </si>
  <si>
    <t>n1info.si</t>
  </si>
  <si>
    <t>To pa je zelo težko,” je za CNN dejala Marion Nestle, avtorica knjige o politiki živilske industrije.</t>
  </si>
  <si>
    <t>Look for these 9 red flags to identify ultra-processed food</t>
  </si>
  <si>
    <t>Pittsburgh Post-Gazette</t>
  </si>
  <si>
    <t>Look for these 10 red flags to identify food that is ultra-processed</t>
  </si>
  <si>
    <t>What milk? Plant-based options provide their own benefits</t>
  </si>
  <si>
    <t>Marion Nestle, professor of food studies at NYU, said she has “seen environmental comparisons that show dairy to be much worse than plant-based milks.”
“Dairy cows burp methane, eat a lot of food and create a lot of waste,” Nestle wrote in an email.</t>
  </si>
  <si>
    <t>Hrvatska Radiotelevizija (HRT)</t>
  </si>
  <si>
    <t>KNTV-TV (San Jose, CA)</t>
  </si>
  <si>
    <t>South Florida Sun Sentinel</t>
  </si>
  <si>
    <t>Este total interzis să mai mănânci asta. Nu mai trebuie să cumperi niciodată din magazin</t>
  </si>
  <si>
    <t>Capital România</t>
  </si>
  <si>
    <t>Marion Nestle, de la Universitatea din New York.
Alimentele ultraprocesate conțin aditivi precum potențiatori de aromă, coloranți și agenți de îngroșare – practic ingrediente pe care nu le-ați folosi în gătit.</t>
  </si>
  <si>
    <t>RFK Jr.’s MAHA Mantra Wins Over Fans by Stoking Food Toxin Fear</t>
  </si>
  <si>
    <t>BNN Bloomberg</t>
  </si>
  <si>
    <t>The News &amp; Observer</t>
  </si>
  <si>
    <t>FDA: Ova namirnica može povoljno djelovati na rizik za dijabetes tip 2</t>
  </si>
  <si>
    <t>Radio Sarajevo</t>
  </si>
  <si>
    <t>Marion Nestle, kritizirala je odluku, postavljajući pitanje o opravdanosti preporuke konzumiranja 2 šolje jogurta sedmično kao preventivne mjere za dijabetes tipa 2.
Napomenula je da je uzrok dijabetesa tipa 2 složen i da se ne može povezati isključivo s unosom jogurta.</t>
  </si>
  <si>
    <t>No, alcohol isn't good for you. Will new dietary guidelines be shaped more by health or industry interests?</t>
  </si>
  <si>
    <t>In 1995, when Marion Nestle was on the committee drafting the Dietary Guidelines for Americans, things were run differently.</t>
  </si>
  <si>
    <t>How a government scientist is pushing to supersize research into ultra-processed foods</t>
  </si>
  <si>
    <t>Alimentele care trebuie evitate. Pot crește riscul de deces prematur</t>
  </si>
  <si>
    <t>EVZ Romania</t>
  </si>
  <si>
    <t>Marion Nestle, profesor emerit Paulette Goddard de nutriție, studii alimentare și sănătate publică la Universitatea din New York.
Ce ar trebui să facem cu alimentele ultraprocesate
Song nu ar recomanda în mod neapărat evitarea completă a tuturor alimentelor ultraprocesate.</t>
  </si>
  <si>
    <t>FDA Redefines 'Healthy' Food Labeling Standards</t>
  </si>
  <si>
    <t>The Pinnacle Gazette</t>
  </si>
  <si>
    <t>Others, like nutrition expert Marion Nestle, viewed the adjustments more positively, saying, “This new rule does include real, unprocessed foods, which is preferable to previous definitions focused on nutrient alone.”</t>
  </si>
  <si>
    <t>Yogurt makers can make limited claims about type 2 diabetes prevention: FDA</t>
  </si>
  <si>
    <t>Medical Xpress</t>
  </si>
  <si>
    <t>Food policy expert Marion Nestle told the Associated Press that qualified health claims are "ridiculous on their face."
"Translation: If you want to believe this, go ahead, but it's not on the basis of evidence," she added.</t>
  </si>
  <si>
    <t>Ultra-processed food is tasty and easy: Is it bad for you?</t>
  </si>
  <si>
    <t>KSWB-TV (San Diego, CA)</t>
  </si>
  <si>
    <t>WDIV-TV (Detroit, MI)</t>
  </si>
  <si>
    <t>RFK Jr. Wins Over Fans by Stoking Food Toxin Fear</t>
  </si>
  <si>
    <t>Yahoo News Australia</t>
  </si>
  <si>
    <t>"There are a lot of things about Kennedy's views about health I'm not very comfortable with - I certainly don't share his position on vaccination, I don't share his position on fluoride," said Marion Nestle, a retired New York University nutrition professor who also writes the Food Politics newsletter</t>
  </si>
  <si>
    <t>"What he's suggesting is taking on the food industry," said former New York University nutrition professor Marion Nestle. "Will Trump back him up on that? I'll believe it when I see it."</t>
  </si>
  <si>
    <t>RFK Jr. faces battles in quest to change America's food</t>
  </si>
  <si>
    <t>Marion Nestle, a retired professor of nutrition, food studies and public health at New York University, said she supports Kennedy's proposal to get ultra-processed foods out of schools.</t>
  </si>
  <si>
    <t>Twinkies owner declares 'snacking continues' even under RFK Jr.'s 'Make America Healthy Again' agenda</t>
  </si>
  <si>
    <t>"The food industry ought to be quaking in its boots, but they don't think it's going to happen," Marion Nestle, a nutrition and food policy expert at New York University, told CNN.</t>
  </si>
  <si>
    <t>WTOP-FM (Washington, DC)</t>
  </si>
  <si>
    <t>El plan de Robert F. Kennedy Jr. para hacer “saludable” a Estados Unidos preocupa a los expertos en salud</t>
  </si>
  <si>
    <t>WCAU-TV (Philadelphia, PA)</t>
  </si>
  <si>
    <t>Baltimore Sun</t>
  </si>
  <si>
    <t>Το κρέας που φτιάχτηκε χωρίς να σκοτωθεί κανένα ζώο ετοιμάζεται να γίνει πραγματικότητα στις ΗΠΑ</t>
  </si>
  <si>
    <t>pronews.gr</t>
  </si>
  <si>
    <t>The case against Lunchables: Ultra-processed food poses risks for kids | Mark Mahoney</t>
  </si>
  <si>
    <t>Tallahassee Democrat</t>
  </si>
  <si>
    <t>"Lunchables are ultra-processed junk foods for kids,” said Marion Nestle, a retired professor of nutrition, food studies and public health at New York University.</t>
  </si>
  <si>
    <t>‎Publimetro (Chile)</t>
  </si>
  <si>
    <t>Os alimentos ultraprocessados compõem a maior parte da dieta americana, mas os EUA não têm uma política para eles</t>
  </si>
  <si>
    <t>CNN Portugal</t>
  </si>
  <si>
    <t>Não podiam mentir, não podiam fazer batota, não podiam fazer nada a não ser comer o que lhes era dado”, disse a bióloga molecular e cientista da nutrição Marion Nestle, que é a Professora Paulette Goddard de Nutrição, Estudos Alimentares e Saúde Pública, emérita na Universidade de Nova Iorque.</t>
  </si>
  <si>
    <t>Este legume insignificante chega agora ao estrelato num estudo de aconselhamento dietético</t>
  </si>
  <si>
    <t>Foi o que as diretrizes disseram em 1980 e têm dito desde então”, explica a bióloga molecular e cientista da nutrição Marion Nestle, professora emérita da Universidade de Nova Iorque, por e-mail.</t>
  </si>
  <si>
    <t>I krig mod junkfood?</t>
  </si>
  <si>
    <t>Ekstra Bladet</t>
  </si>
  <si>
    <t>Kampen mod fødevareindustrien
Kennedys ambitioner indebærer en konfrontation med den magtfulde fødevareindustri, vurderer Marion Nestle, som er tidligere ernæringsprofessor ved New York University.
- Det, han foreslår, er at udfordre fødevareindustrien, siger hun til BBC.</t>
  </si>
  <si>
    <t>Jonel Aleccia
Associated Press
Published: December 10, 2024 at 2:51 PM
Tags: Washington news, Marion Nestle, Robert F. Kennedy Jr., Peter Lurie, Health, Lifestyle, Fatima Cody Stanford
Sign up for our Events Newsletter!</t>
  </si>
  <si>
    <t>Yogurt and diabetes prevention: Experts skeptical of claims</t>
  </si>
  <si>
    <t>Las Vegas Review-Journal</t>
  </si>
  <si>
    <t>Yahoo Canada</t>
  </si>
  <si>
    <t>Ozempic, Wegovy, Mounjaro: Nestlé adapte ses produits à un monde qui grignote de moins en moins</t>
  </si>
  <si>
    <t>Le Temps</t>
  </si>
  <si>
    <t>médicaments font toujours rage
L’apparition d’Ozempic et consorts dans les habitudes alimentaires des consommateurs pourrait devenir une «menace existentielle pour l’industrie alimentaire et [plus encore] pour l’industrie des aliments transformés», affirmait déjà au New York Times en janvier 2024 Marion … Nestle, professeur émérite de nutrition, d’études sur l’alimentation et de santé publique à l’université de New York.</t>
  </si>
  <si>
    <t>KDVR-TV (Denver, CO)</t>
  </si>
  <si>
    <t>Gothamist</t>
  </si>
  <si>
    <t>Orange County Register</t>
  </si>
  <si>
    <t>The Sacramento Bee</t>
  </si>
  <si>
    <t>La kombucha y los nootrópicos están de moda pero, ¿de verdad sirven para algo?</t>
  </si>
  <si>
    <t>National Geographic ES</t>
  </si>
  <si>
    <t>La nutricionista Marion Nestle, catedrática emérita de nutrición, estudios alimentarios y salud pública de la Universidad de Nueva York, afirma que las pruebas sobre los probióticos siguen siendo "bastante contradictorias".</t>
  </si>
  <si>
    <t>KPRC-TV (Houston, TX)</t>
  </si>
  <si>
    <t>WXIN-TV (Indianapolis, IN)</t>
  </si>
  <si>
    <t>Até que ponto os alimentos ultraprocessados são maus? Aqui estão 5 coisas para saber</t>
  </si>
  <si>
    <t>primeira categoria, até aos ultraprocessados, que utilizam fórmulas e técnicas de fabrico industriais, na quarta.
2A minha definição operacional de (alimentos) ultraprocessados é que não os podemos fazer na cozinha de casa porque não temos a maquinaria nem os ingredientes", disse recentemente a Marion … Nestle, especialista em política alimentar, à correspondente médica da CNN, Meg Tirrell, no podcast Chasing Life.</t>
  </si>
  <si>
    <t>KCRA-TV (Sacramento, CA)</t>
  </si>
  <si>
    <t>WKMG-TV (Orlando, FL)</t>
  </si>
  <si>
    <t>Lunchables taken off U.S. school lunch trays because of lack of demand</t>
  </si>
  <si>
    <t>Toronto Sun</t>
  </si>
  <si>
    <t>Article content
Advertisement 3
Article content
Marion Nestle, a retired professor of nutrition, food studies and public health at New York University, said Lunchables “were too expensive for schools to buy on their tight school meal budgets, too nutritionally controversial, unable to be supplied</t>
  </si>
  <si>
    <t>Tentempiés envueltos en un ‘halo de salud’</t>
  </si>
  <si>
    <t>Yahoo Finanzas</t>
  </si>
  <si>
    <t>“Si el marketing está bien hecho, pasa por debajo del radar del pensamiento crítico”, afirmó Marion Nestle, profesora emérita de nutrición y estudios alimentarios de la Universidad de Nueva York.</t>
  </si>
  <si>
    <t>Yahoo Singapore</t>
  </si>
  <si>
    <t>KNBC-TV (Los Angeles, CA)</t>
  </si>
  <si>
    <t>KXAN-TV (Austin, TX)</t>
  </si>
  <si>
    <t>Vietnam+</t>
  </si>
  <si>
    <t>The San Diego Union-Tribune</t>
  </si>
  <si>
    <t>Kansas City Star</t>
  </si>
  <si>
    <t>A Beef Industry Leader Called the USDA's 2025 Proposed Dietary Guidelines 'Elitist'</t>
  </si>
  <si>
    <t>"I'm stunned by the whole thing," Marion Nestle, author and professor emerita of nutrition and food studies at New York University, shared with the New York Times at the time.</t>
  </si>
  <si>
    <t>WGN-TV (Chicago, IL)</t>
  </si>
  <si>
    <t>JEDNA NAMIRNICA SKRAĆUJE ŽIVOT ZA 36 MINUTA: Srbi je obožavaju i jedu gotovo STALNO, a ne znaju koliko je OPASNA</t>
  </si>
  <si>
    <t>republika.rs</t>
  </si>
  <si>
    <t>Takođe nije tako jednostavno kao izračunati koju hranu jesti da biste doživeli 100 godina, rekla je Marion Nestle, profesorka ishrane i javnog zdravlja na Univerzitetu u Njujorku. Ona je za CNN rekla da brojevi možda nisu sasvim pouzdani.</t>
  </si>
  <si>
    <t>Nonfiction Views: July 9th 2024</t>
  </si>
  <si>
    <t>Daily Kos</t>
  </si>
  <si>
    <t>.”— Marion Nestle
Die Hot with a Vengeance: Essays on Vanity, by Sable Yong.</t>
  </si>
  <si>
    <t>10 mitybos mitų, kuriuos paneigia ekspertai: nuo riebalų iki pieno pasirinkimo</t>
  </si>
  <si>
    <t>DELFI Lithuania</t>
  </si>
  <si>
    <t>Marion Nestle: „XX a. šeštajame dešimtmetyje pirmosios mitybos rekomendacijos, skirtos nutukimo, 2 tipo diabeto, širdies ligų ir panašių ligų prevencijai, buvo subalansuoti kalorijas ir kuo labiau sumažinti maisto, kuriame yra daug sočiųjų riebalų, druskos ir cukraus.</t>
  </si>
  <si>
    <t>2025年美國人怎麼吃 政府諮詢小組有建議</t>
  </si>
  <si>
    <t>大紀元新聞</t>
  </si>
  <si>
    <t>食品政策專家馬里恩‧內斯特（Marion Nestle）表示，總體而言，《2025—2030年美國人飲食指南》的建議聽起來相當熟悉。
「這看起來就像1980年以來所有其它飲食指南一樣：多吃蔬菜，減少高鹽、高糖和飽和脂肪食物的攝取。」內斯特在一封電子郵件中表示，「這份特別聲明對於平衡卡路里沒有任何說明，而卡路里的過量攝入，特別是來自超加工食品的過量攝入，是美國人健康的最大挑戰。」
該小組會議持續近兩年，是首個通過他們所謂的「健康公平視角」關注美國人飲食需求的小組。</t>
  </si>
  <si>
    <t>2025年美国人怎么吃 政府咨询小组有建议</t>
  </si>
  <si>
    <t>Epoch Times Taiwan</t>
  </si>
  <si>
    <t>食品政策专家马里恩‧内斯特（Marion Nestle）表示，总体而言，《2025—2030年美国人饮食指南》的建议听起来相当熟悉。
“这看起来就像1980年以来所有其它饮食指南一样：多吃蔬菜，减少高盐、高糖和饱和脂肪食物的摄取。”内斯特在一封电子邮件中表示，“这份特别声明对于平衡卡路里没有任何说明，而卡路里的过量摄入，特别是来自超加工食品的过量摄入，是美国人健康的最大挑战。”
该小组会议持续近两年，是首个通过他们所谓的“健康公平视角”关注美国人饮食需求的小组。</t>
  </si>
  <si>
    <t>WESH-TV (Orlando, FL)</t>
  </si>
  <si>
    <t>Houston Chronicle</t>
  </si>
  <si>
    <t>WCVB-TV (Boston, MA)</t>
  </si>
  <si>
    <t>Breakfast Is The Most Important Meal Of The Day</t>
  </si>
  <si>
    <t>HuffPost UK</t>
  </si>
  <si>
    <t>If you're expecting a lecture from nutrition and public health expert Marion Nestle, guess again. Nestle doesn't do breakfast, either. "I prefer eating when I'm hungry, and I rarely get hungry before 10:30 or later," she said.</t>
  </si>
  <si>
    <t>Megkongatták a vészharangot a dietetikusok: súlyos betegség lehet a vége, ha nem így táplálkozol</t>
  </si>
  <si>
    <t>Pénzcentrum</t>
  </si>
  <si>
    <t>Marion Nestle, a New York-i Egyetem táplálkozási, élelmiszertudományi és közegészségügyi szakértője szerint már régóta tudjuk mindezt, azonban mindig jó látni az újabb és újabb bizonyítékokat.
NULLA FORINTOS SZÁMLAVEZETÉS? LEHETSÉGES! MEGÉRI VÁLTANI!</t>
  </si>
  <si>
    <t>FDA: Jogurt može povoljno djelovati na rizik za dijabetes tip 2, bolest koja pogađa oko 462 milijuna ljudi u svijetu</t>
  </si>
  <si>
    <t>Slobodna Dalmacija</t>
  </si>
  <si>
    <t>Iaurturile ar putea scădea riscul de diabet de tip 2. Ce spun experții despre anunțul făcut de FDA</t>
  </si>
  <si>
    <t>click.ro</t>
  </si>
  <si>
    <t>Profesoara
emerită de nutriție, studii alimentare și sănătate publică, Marion Nestle, a
spus că această decizie sugerează o realitate eronată celor care vor să evite
această boală.
,
a explicat aceasta, conform sursei citate.</t>
  </si>
  <si>
    <t>Jobb, ha elkerüli: ezektől a közkedvelt ételektől halhat meg korábban</t>
  </si>
  <si>
    <t>Mandiner.hu</t>
  </si>
  <si>
    <t>Marion Nestle, Paulette Goddard professzor, a táplálkozás, az élelmiszer-tanulmányok és a közegészségügy emerita professzora a New York-i Egyetemen.
Song nem feltétlenül javasolja az összes ultrafeldolgozott élelmiszer teljes elutasítását, mert ez tulajdonképpen egy változatos kategória.</t>
  </si>
  <si>
    <t>This Week's Report #2: WHO/FAO - Food Politics by Marion Nestle</t>
  </si>
  <si>
    <t>Ground.news</t>
  </si>
  <si>
    <t>Ultra-processed foods and calories: more evidence! - Food Politics by Marion Nestle</t>
  </si>
  <si>
    <t>The first lawsuit against ultra-processed foods - Food Politics by Marion Nestle</t>
  </si>
  <si>
    <t>ABS-CBN News</t>
  </si>
  <si>
    <t>面對大量相互矛盾的營養資訊 你該如何選擇</t>
  </si>
  <si>
    <t>據CNN報道，波萊特‧戈達德（Paulette Goddard）營養學、食品研究和營養學榮譽教授Marion Nestle博士表示，這項研究的結果與該領域數百個其它研究結果一致，但這項研究的獨特之處在於它對超加工食品類別中的不同亞群進行了解析。
區別對待超加工食品
但宋明陽表示，並不建議對所有超加工食品都一律拒絕，要區別對待。
「例如穀物、全麥麵包，它們也被認為是超加工食品，但它們含有各種有益的營養成份，如纖維、維他命和礦物質。」</t>
  </si>
  <si>
    <t>面对大量相互矛盾的营养资讯 你该如何选择</t>
  </si>
  <si>
    <t>纽约大学营养学、食品研究和公共卫生荣誉教授，获奖作家玛丽昂‧内斯特尔（Marion Nestle）告诉大纪元，营养学之所以令人困惑，是因为人们的饮食非常复杂。
“你不可能把人关在代谢病房里40年，并给他们不同种类的饮食，然后观察会产生什么影响。”她解释道。
内斯特尔女士指出，进行实验性研究并不实际，因此目前的研究主要依赖观察。换言之，研究人员并非直接对人类参与者进行实验，而是通过观察参与者来收集数据，并从中获取见解。
使用动物模型或细胞的观察性和前临床研究常常面临批评。对人类进行受控营养研究几乎是不可能的，除了非常短期的实验之外。</t>
  </si>
  <si>
    <t>超加工食品和早逝相关 哪些最应避免食用 - 大纪元</t>
  </si>
  <si>
    <t>据CNN报导，波莱特‧戈达德（Paulette Goddard）营养学、食品研究和营养学荣誉教授马里昂‧内斯特（Marion Nestle）博士表示，这项研究的结果与该领域数百个其它研究结果一致，但这项研究的独特之处在于它对超加工食品类别中的不同亚群进行了解析。
区别对待超加工食品
但宋明阳表示，并不建议对所有超加工食品都一律拒绝，要区别对待。
“例如谷物、全麦面包，它们也被认为是超加工食品，但它们含有各种有益的营养成分，如纤维、维生素和矿物质。”他说，“另一方面，我确实认为人们应该尽量避免或限制食用某些超加工食品，如加工肉类、含糖饮料以及可能的人工甜味饮料。”</t>
  </si>
  <si>
    <t>紐約大學營養學、食品研究和公共衛生榮譽教授，獲獎作家瑪麗昂‧內斯特爾（Marion Nestle）告訴大紀元，營養學之所以令人困惑，是因為人們的飲食非常複雜。
「你不可能把人關在代謝病房裡40年，並給他們不同種類的飲食，然後觀察會產生什麼影響。」她解釋道。
內斯特爾女士指出，進行實驗性研究並不實際，因此目前的研究主要依賴觀察。換言之，研究人員並非直接對人類參與者進行實驗，而是通過觀察參與者來收集數據，並從中獲取見解。
使用動物模型或細胞的觀察性和前臨床研究常常面臨批評。對人類進行受控營養研究幾乎是不可能的，除了非常短期的實驗之外。</t>
  </si>
  <si>
    <t>Is this corporate capture?</t>
  </si>
  <si>
    <t>Daily Maverick</t>
  </si>
  <si>
    <t>Nestlé partnership with University of Pretoria raises questions</t>
  </si>
  <si>
    <t>Federal nutrition guidelines unlikely to include new direction on 'ultra-processed' food</t>
  </si>
  <si>
    <t>The Minnesota Star Tribune</t>
  </si>
  <si>
    <t>Vanguardia</t>
  </si>
  <si>
    <t>Syötkö "kertaalleen syötyä" ruokaa? Uhkana painonnousu, sairastuminen ja jopa ennenaikainen kuolema</t>
  </si>
  <si>
    <t>MTV Uutiset</t>
  </si>
  <si>
    <t>– Ruoat tekevät hyvää aivojen mielihyväkeskuksille ja hormoneille, joten ihmisten on hyvin vaikea lopettaa niiden syöminen, New Yorkin yliopiston emeritusprofessori Marion Nestle kuvailee.</t>
  </si>
  <si>
    <t>Jemy go nawet 40 kg rocznie. A to główny powód nowotworów wśród Polaków</t>
  </si>
  <si>
    <t>NaTemat.pl</t>
  </si>
  <si>
    <t>Takiego zdania jest m.in. dr Marion Nestle z Uniwersytetu w Nowym Jorku. 
Dlatego niezależnie od tego, czy poranną kawę lub herbatę słodzicie miodem, cukrem kokosowym, czy zwykłymi kostkami, pamiętajcie o dziennym limicie cukru.</t>
  </si>
  <si>
    <t>WRAL-TV (Raleigh, NC)</t>
  </si>
  <si>
    <t>But as Marion Nestle, a professor of nutrition at New York University, points out in her book, Food Politics, “the increasingly common addition of vitamins and minerals” is unlikely to improve our health and “raises concerns about the possible hazards of too much of a good thing”.</t>
  </si>
  <si>
    <t>Descoperire după 3 decenii de cercetare, neștiută de oameni: Alimentele care îți scurtează cu mulți ani viața VIDEO</t>
  </si>
  <si>
    <t>Ziare.com</t>
  </si>
  <si>
    <t>Descoperire după 30 de ani de cercetări: Alimentele care scurtează cu mulți ani viața VIDEO</t>
  </si>
  <si>
    <t>Kennedy faces battles in quest to change the food America eats</t>
  </si>
  <si>
    <t>Detroit News</t>
  </si>
  <si>
    <t>net.hr</t>
  </si>
  <si>
    <t>Marion Nestle, profesorica nutricionizma, zdrave hrane i
 javnog zdravstva Sveučilišta New Yor kritizirala je odluku
 upitavši: “Zašto bi bilo koja razumna osoba mislila da je sve što
 trebate učiniti kako biste spriječili dijabetes tipa 2
 konzumirati 2 šalice jogurta tjedno?”.</t>
  </si>
  <si>
    <t>Why experts say there's 'no such thing' as healthy chocolate - and $20 'raw' and extra dark varieties are just as bad as Hershey's</t>
  </si>
  <si>
    <t>This is Money</t>
  </si>
  <si>
    <t>Brasil de Fato</t>
  </si>
  <si>
    <t>Yahoo Noticias</t>
  </si>
  <si>
    <t>Marion Nestle, profesora emérita de nutrición, estudios alimentarios y ciencias alimentarias de Paulette Goddard. salud pública en la Universidad de Nueva York.
Los cereales también son alimentos ultraprocesados/Getty Creative
¿Necesitamos deshacernos de todos los alimentos ultraprocesados?</t>
  </si>
  <si>
    <t>Američka agencija za hranu: Na jogurtima će pisari da mogu smanjiti rizik za dijabetes tip 2</t>
  </si>
  <si>
    <t>24SATA</t>
  </si>
  <si>
    <t>Marion Nestle, profesorica nutricionizma, zdrave hrane i javnog zdravstva Sveu&amp;ccaron;ilišta New Yor kritizirala je odluku upitavši: “Zašto bi bilo koja razumna osoba mislila da je sve što trebate u&amp;ccaron;initi kako biste sprije&amp;ccaron;ili dijabetes tipa 2 konzumirati 2 šalice jogurta tjedno?”.</t>
  </si>
  <si>
    <t>Breitbart</t>
  </si>
  <si>
    <t>NewsIT</t>
  </si>
  <si>
    <t>Peran Negara dan Lobi Industri di Balik Penyakit Kronis</t>
  </si>
  <si>
    <t>Kompas Daily and Kompas.id</t>
  </si>
  <si>
    <t>Seperti ditulis Marion Nestle, ahli nutrisi dan studi pangan New York University dalam bukunya Food Politics (2002), industri makanan, termasuk rokok, tidak hanya menentukan pasokan pangan, tapi secara negatif memengaruhi pola diet dan kesehatan individu dengan cara yang kerap tidak disadari.</t>
  </si>
  <si>
    <t>The Role of the State and Industrial Lobby Behind Chronic Diseases</t>
  </si>
  <si>
    <t>As Marion Nestle, a New York University expert in nutrition and food studies, wrote in her book, Food Politics (2002), the food industry, including cigarettes, not only determines the food supply, but also negatively influences individual dietary patterns and health. in ways that are often unconscious</t>
  </si>
  <si>
    <t>Ultra-processed foods, said nutritionist Marion Nestle, are "industrially produced foods formulated to be irresistibly delicious that can't be made in home kitchens."
This category can include many breakfast cereals, yogurts, chicken nuggets and plant-based meat alternatives.</t>
  </si>
  <si>
    <t>Voice of America (VOA)</t>
  </si>
  <si>
    <t>New US Food Guidelines: Eat Less Meat, More Beans</t>
  </si>
  <si>
    <t>Overall, the recommendations for the 2025-2030 Dietary Guidelines for Americans sound familiar, said Marion Nestle. She is a food policy expert.</t>
  </si>
  <si>
    <t>Renunță la bomboane de Ziua Îndrăgostiților. Iată câteva opțiuni mai sănătoase</t>
  </si>
  <si>
    <t>G4 Media</t>
  </si>
  <si>
    <t>Este, de asemenea, destul de sărată și bogată în grăsimi, așa că intră în categoria de savurat cu moderație”, a declarat Marion Nestle, profesor de nutriție, studii alimentare și sănătate publică la Universitatea din New York..</t>
  </si>
  <si>
    <t>„Consumul regulat de iaurt poate reduce riscul de diabet de tip 2”. Producătorii din SUA au fost autorizați de autoritatea de reglementare să includă această mențiune pe produse</t>
  </si>
  <si>
    <t>Marion Nestle, nutriționist și biolog molecular, a împărtășit sentimentele lui Passerrello, adăugând că „afirmațiile calificate privind sănătatea sunt ridicole în sine”.</t>
  </si>
  <si>
    <t>KXNT-AM (Las Vegas, NV)</t>
  </si>
  <si>
    <t>Popular Science</t>
  </si>
  <si>
    <t>Nutri-Score : la promotion par le mensonge (ici aux USA) - Agriculture, alimentation, santé publique... soyons rationnels</t>
  </si>
  <si>
    <t>OverBlog</t>
  </si>
  <si>
    <t>Il m'arrive de butiner – rarement, certes – sur le blog de Mme Marion Nestlé, « Food Politics ». … Mme Marion Nestle cite ensuite le Washington Post et Fortune. Et elle traverse l'Atlantique :
« Cela me fait penser qu'il est temps de faire le point sur ce qui se passe en Europe avec le Nutri-Score.</t>
  </si>
  <si>
    <t>WSB-TV (Atlanta, GA)</t>
  </si>
  <si>
    <t>Ukusna namirnica koju imate kod kuće može smanjiti rizik za dijabetes tip 2</t>
  </si>
  <si>
    <t>Tportal.hr</t>
  </si>
  <si>
    <t>Marion Nestle, profesorica nutricionizma, zdrave hrane i javnog zdravstva Sveučilišta New Yor kritizirala je odluku upitavši: 'Zašto bi bilo koja razumna osoba mislila da je sve što trebate učiniti kako biste spriječili dijabetes tipa 2 konzumirati 2 šalice jogurta tjedno?'.</t>
  </si>
  <si>
    <t>Jeste li sigurni da kupujete zdravu hranu? Ovako ćete prepoznati ultraprerađene namirnice</t>
  </si>
  <si>
    <t>'Velika pakiranja su dizajnirana da vas natjeraju da se prejedete', rekla je Marion Nestle, profesorica nutricionizma, studija hrane i javnog zdravlja na Sveučilištu New York i autorica knjige 'Soda Politics'. 'Ako ne možete prestati jesti iz velikih pakiranja, nemojte ih kupovati', dodala je.</t>
  </si>
  <si>
    <t>Μπορεί πραγματικά το ψήσιμο του κρέατος να αυξήσει τον κίνδυνο του καρκίνου; Οι ειδικοί απαντούν</t>
  </si>
  <si>
    <t>newsbeast.gr</t>
  </si>
  <si>
    <t>Όπως και άλλες καρκινογόνες ουσίες, ο κίνδυνος καρκίνου αυξάνεται με την επαναλαμβανόμενη έκθεση σε HCA και PAH», δήλωσε η Marion Nestle, επισκέπτρια καθηγήτρια Διατροφικών Επιστημών στο Πανεπιστήμιο Cornell. «Ο κίνδυνος μιας περιστασιακής έκθεσης είναι εξαιρετικά μικρός», τόνισε.</t>
  </si>
  <si>
    <t>ProPublica</t>
  </si>
  <si>
    <t>RFK Jr veut "révolutionner" l'alimentation des Américains</t>
  </si>
  <si>
    <t>Watson News</t>
  </si>
  <si>
    <t>«Nous avons maintenant des républicains qui répètent pour l'essentiel ce que l’administration Obama a tenté de faire, mais que les républicains ont bloqué à chaque fois», soupire Marion Nestle, ancienne professeure de nutrition à l'université de New York, au Washington Post.</t>
  </si>
  <si>
    <t>In RFK Jr.’s promise to go after ‘big food,’ some public health officials see a silver lining - The Boston Globe</t>
  </si>
  <si>
    <t>The Boston Globe</t>
  </si>
  <si>
    <t>Early versions of the proposed guidelines do not have any reference to ultraprocessed foods, which is “shocking,” said Marion Nestle, a former government official, professor emerita of nutrition food studies and public health at New York University, and author of numerous books on the influence of big</t>
  </si>
  <si>
    <t>RFK Jr's to-do list to make America 'healthy' has health experts worried</t>
  </si>
  <si>
    <t>Radio New Zealand (RNZ)</t>
  </si>
  <si>
    <t>Rivoluzione nei fast food: arrivano le porzioni piccole e non sono tutti contenti</t>
  </si>
  <si>
    <t>Gambero Rosso</t>
  </si>
  <si>
    <t>Secondo Marion Nestle, professore di nutrizione presso la New York University, la cosiddetta “distorsione delle porzioni” ha radicato l'idea che di più significhi automaticamente migliore.</t>
  </si>
  <si>
    <t>The Atlanta Journal-Constitution</t>
  </si>
  <si>
    <t>US Agency Permits Qualified Health Claim for Yogurt</t>
  </si>
  <si>
    <t>Marion Nestle is a food policy expert at New York University. She said qualified health claims based on limited evidence are “ridiculous on their face.”
And that’s the Health &amp; Lifestyle report. I’m Anna Matteo.
Jonel Aleccia reported this story for the Associated Press.</t>
  </si>
  <si>
    <t>WFLA-TV (Tampa, FL)</t>
  </si>
  <si>
    <t>Você deve comer 2.000 calorias por dia? Conheça a história por trás do número</t>
  </si>
  <si>
    <t>Revista Superinteressante</t>
  </si>
  <si>
    <t>Referências: Livro Why calories count: from science to politics, de Marion Nestle
CALORIA
EMAGRECIMENTO
mito
Saúde</t>
  </si>
  <si>
    <t>CP24</t>
  </si>
  <si>
    <t>Por que é tão difícil comer bem</t>
  </si>
  <si>
    <t>Isso é tão verdade que a bióloga e nutricionista Marion Nestle (que nada tem a ver com a fabricante do Ninho) mantém um blog em que expõe estudos financiados pela indústria alimentícia – com mais de 250 posts.</t>
  </si>
  <si>
    <t>Independent Online</t>
  </si>
  <si>
    <t>IOL News</t>
  </si>
  <si>
    <t>Azúcar o edulcorantes artificiales, ¿cuál de las dos opciones es más segura para la salud?</t>
  </si>
  <si>
    <t>El País (Uruguay)</t>
  </si>
  <si>
    <t>“Pero para resolver por completo estas cuestiones de causa y efecto, los científicos tendrían que diseñar estudios que midan directamente cómo los sustitutos del azúcar afectan la salud humana a largo plazo”, dijo Marion Nestle, profesora emérita de nutrición, estudios alimentarios y salud pública en</t>
  </si>
  <si>
    <t>Este alimento puede reducir el riesgo de diabetes tipo 2: pautas específicas y cómo consumirlo</t>
  </si>
  <si>
    <t>Marion Nestle, nutricionista y bióloga molecular, a CNN en marzo de este año.
Según los datos de la Federación Internacional de Diabetes (FID), en el mundo, el 10,5 % de las personas entre 20 y 79 años padecen diabetes, y aproximadamente el 90 % de estos casos corresponden a la diabetes tipo 2.</t>
  </si>
  <si>
    <t>États-Unis. L’extrême droite craque pour le lait cru et c’est “absolument terrifiant”</t>
  </si>
  <si>
    <t>Courrier International</t>
  </si>
  <si>
    <t>Marion Nestle, biologiste moléculaire et nutritionniste américaine, au quotidien britannique “The Guardian”
“Les maladies liées au lait non pasteurisé étaient un problème de santé publique majeur, qui a été considérablement réduit lorsque la pasteurisation s’est généralisée, dans les années</t>
  </si>
  <si>
    <t>Yahoo News UK</t>
  </si>
  <si>
    <t>Produsul delicios din comerț considerat o adevărată otravă de către specialiști. E ultraprocesat și poate genera probleme mari de sănătate</t>
  </si>
  <si>
    <t>fanatik.ro</t>
  </si>
  <si>
    <t>Marion Nestle, de la Universitatea din New York, conform capital.ro.
Cum îți afectează alimentele ultraprocesate sănătatea
Consumul alimentelor ultraprocesate duce la tot felul de boli, dar și la creșterea în greutate, datorită aportului caloric mărit.</t>
  </si>
  <si>
    <t>Inverse</t>
  </si>
  <si>
    <t>WNBC-TV (New York, NY)</t>
  </si>
  <si>
    <t>Robert Kennedy Jr.: la ficha polémica de Trump que apunta a un revolcón en la salud de EU</t>
  </si>
  <si>
    <t>Proceso</t>
  </si>
  <si>
    <t>Marion Nestle, profesora emérita de Nutrición, Estudios de Alimentación y Salud Pública en la?Universidad de Nueva York, afirmó en entrevista con France 24 que las empresas, a menudo, financian investigaciones y ejercen presión a los agentes federales para proteger sus intereses.  </t>
  </si>
  <si>
    <t>Beverage sales went down in cities that enacted soda taxes. Philly saw the biggest change.</t>
  </si>
  <si>
    <t>The Philadelphia Inquirer</t>
  </si>
  <si>
    <t>Marion Nestle, a nutrition and food studies professor at New York University, said that this study shows more significant changes than other studies, and most notably, consistency across different cities.</t>
  </si>
  <si>
    <t>Permitirán que etiquetas afirmen que el yogur podría prevenir diabetes</t>
  </si>
  <si>
    <t>Telemundo</t>
  </si>
  <si>
    <t>Démystifier la science | Les effets des aliments ultratransformés</t>
  </si>
  <si>
    <t>La Presse</t>
  </si>
  <si>
    <t>Selon Marion Nestle, nutritionniste émérite de l’Université de New York, « si une cuisine normale ne peut pas produire un aliment, ça veut dire qu’il est ultratransformé ».</t>
  </si>
  <si>
    <t>Mixed reactions greet Trump’s pick of longtime FDA critic to head agency</t>
  </si>
  <si>
    <t>Science Magazine</t>
  </si>
  <si>
    <t>“We need the strongest, most courageous possible person to lead the FDA, which has increasingly looked like a captured federal agency,” says Marion Nestle, a molecular biologist and nutritionist at New York University who has served on dietary guideline committees and advisory committees for FDA.</t>
  </si>
  <si>
    <t>KSL.com</t>
  </si>
  <si>
    <t>Like a baby bird, you may be eating 'predigested' food. Here's what that means</t>
  </si>
  <si>
    <t>Ultra-processing, said nutritionist Marion Nestle, is "industrially produced foods formulated to be irresistibly delicious that can't be made in home kitchens."
This category can include many breakfast cereals, yogurts, chicken nuggets and plant-based meat alternatives.</t>
  </si>
  <si>
    <t>Marion Nestle, a food policy expert, said qualified health claims based on limited evidence are ''ridiculous on their face.''</t>
  </si>
  <si>
    <t>Marion Nestle, biologist and nutritionist at New York University, looks back a few decades and marvels at how food has has become something available anytime, anywhere: ''You go into a clothing store and there are candy bars at the checkout counter."</t>
  </si>
  <si>
    <t>Marion Nestle, a food policy expert, said qualified health claims based on limited evidence are ''ridiculous on their face.''
___
The Associated Press Health and Science Department receives support from the Howard Hughes Medical Institute's Science and Educational Media Group.</t>
  </si>
  <si>
    <t>Da li meso pečeno na roštilju povećava rizik od raka</t>
  </si>
  <si>
    <t>Telegraf</t>
  </si>
  <si>
    <t>Kao i kod drugih kancerogena, rizik od raka raste sa ponovljenim izlaganjem HCA i PAH, kaže dr Marion Nestle, autorka i gostujući profesor nutricionističkih nauka na Univerzitetu Kornel i dodaje da je „rizik od jednog izlaganja izuzetno mali”.</t>
  </si>
  <si>
    <t>Potvrđeno je: Omiljena namirnica može smanjiti rizik od dijabetesa tipa 2</t>
  </si>
  <si>
    <t>Index.hr</t>
  </si>
  <si>
    <t>Američka agencija za hranu: Jogurt može smanjiti rizik za dijabetes tipa 2</t>
  </si>
  <si>
    <t>Američka agencija za hranu: Jogurt može smanjiti rizik za dijabetes tip 2</t>
  </si>
  <si>
    <t>Alimentele pe care nu ar trebui să le mănânci niciodată. Mulți români le consumă, deși își pot grăbi moartea</t>
  </si>
  <si>
    <t>StirileProTV</t>
  </si>
  <si>
    <t>Marion Nestle, profesor emerit Paulette Goddard de nutriție, studii alimentare și sănătate publică la Universitatea din New York.
Trebuie să scăpăm de toate alimentele ultraprocesate?
Song nu ar sfătui neapărat o respingere completă a tuturor alimentelor ultraprocesate.</t>
  </si>
  <si>
    <t>Studiu: Alimentele ultraprocesate pe care trebuie să le eviți. Cresc riscul de moarte prematură</t>
  </si>
  <si>
    <t>Marion Nestle, profesor emerit Paulette Goddard de nutriție, studii alimentare și sănătate publică la Universitatea din New York.
Trebuie să scăpăm de toate alimentele ultraprocesate?
Dr.</t>
  </si>
  <si>
    <t>Study says ultra-processed foods can shorten your life, damage your brain</t>
  </si>
  <si>
    <t>Deseret News</t>
  </si>
  <si>
    <t>"Literally hundreds of studies link ultra-processed foods to obesity, cancer, cardiovascular disease and overall mortality," Marion Nestle, author of books on food politics and marketing, as well as a professor emerita of nutrition and food studies at New York University, .</t>
  </si>
  <si>
    <t>TikTok'taki çiğ süt içme akımına uzmandan uyarı: "Brusella ve salmonella gibi zararlı mikropları taşıyabilir!"</t>
  </si>
  <si>
    <t>T24</t>
  </si>
  <si>
    <t>Marion Nestle ise çiğ süt trendinden endişeye kapıldığını ifade ederken, “Sütün pastörize edilmesi, 20 Yüzyıl’ın en büyük halk sağlığı başarılarından biridir. Vaktiyle çiğ inek sütü verilen bebekler ölürdü. Sütün pastörize edilmesi, işlenmiş gıda olduğunu göstermez.</t>
  </si>
  <si>
    <t>nutrition experts weigh in on US dietary guidelines</t>
  </si>
  <si>
    <t>KNX-FM (Los Angeles, CA)</t>
  </si>
  <si>
    <t>CityNews Toronto</t>
  </si>
  <si>
    <t>San Francisco Chronicle</t>
  </si>
  <si>
    <t>Konsumsi Buah dan Sayuran Dapat Kurangi Risiko Penyakit Jantung dan Ginjal pada Penderita Tekanan Darah Tinggi</t>
  </si>
  <si>
    <t>Media Indonesia</t>
  </si>
  <si>
    <t>Marion Nestle, Profesor Emerita Nutrisi, Studi Makanan, dan Kesehatan Masyarakat di Universitas New York. Dia tidak terlibat dalam penelitian tersebut.</t>
  </si>
  <si>
    <t xml:space="preserve">Processed foods are hiding in plain sight — and that could be a big public health problem </t>
  </si>
  <si>
    <t>Salon</t>
  </si>
  <si>
    <t>The fuzzy science on whether Fido is actually good for you</t>
  </si>
  <si>
    <t>3 Ide Kudapan Sehat untuk Hadiah Anniversary bersama Pasangan</t>
  </si>
  <si>
    <t>Fimela.com</t>
  </si>
  <si>
    <t>Dikutip dari seorang ahli nutrisi dari New York University, Marion Nestle, keju mengandung protein, vitamin, dan mineral dari susu hewan yang bermanfaat untuk tubuh. </t>
  </si>
  <si>
    <t>Chron</t>
  </si>
  <si>
    <t>Article continues below this ad
Marion Nestle, a food policy expert, said qualified health claims based on limited evidence are "ridiculous on their face."
"Translation: If you want to believe this, go ahead, but it's not on the basis of evidence," she said.</t>
  </si>
  <si>
    <t>Ultra-processed foods increase the risk of death</t>
  </si>
  <si>
    <t>The Star (Malaysia)</t>
  </si>
  <si>
    <t>“Cereals, whole grain breads, for example – they are also considered ultra-processed food, but they contain various beneficial nutrients like fibre, vitamins and minerals,” New York University Paulette Goddard professor emerita of nutrition, food studies and public health Dr Marion Nestle told CNN.</t>
  </si>
  <si>
    <t>Pets Aren’t Necessarily as Good for People’s Health as We Think</t>
  </si>
  <si>
    <t>Scientific American</t>
  </si>
  <si>
    <t>¿Son realmente seguros los endulzantes para el té y el café? Qué dicen los estudios al respecto</t>
  </si>
  <si>
    <t>ADN Radio</t>
  </si>
  <si>
    <t>“No se puede encerrar a las personas el tiempo suficiente para alimentarlas con uno u otro edulcorante artificial y ver qué pasa”, planteó al medio estadounidense Marion Nestle, profesora de nutrición, estudios alimentarios y salud pública de la Universidad de Nueva York.</t>
  </si>
  <si>
    <t>Is America's love of ice cream melting away? Unilever's break-up with Ben &amp; Jerry's isn't the only sign.</t>
  </si>
  <si>
    <t>Morningstar</t>
  </si>
  <si>
    <t>But it may not entirely be the case that people have fallen out of love with ice cream, said Marion Nestle, a nutritionist and public health advocate as well as a professor of nutrition and food studies at New York University.</t>
  </si>
  <si>
    <t xml:space="preserve">Variante mai sănătoase pentru a-ți exprima dragostea de Ziua Îndrăgostiților </t>
  </si>
  <si>
    <t>Adevărul</t>
  </si>
  <si>
    <t>Este, de asemenea, destul de sărată și bogată în grăsimi, așa că intră în categoria de savurat cu moderație”, afirmă Marion Nestle, profesor de nutriție, studii alimentare și sănătate publică la Universitatea din New York, potrivit sursei citate anteriior. </t>
  </si>
  <si>
    <t>The best cereals for your health</t>
  </si>
  <si>
    <t>But as Marion Nestle, a professor of nutrition at New York University, points out in her book, Food Politics, "the increasingly common addition of vitamins and minerals " is unlikely to improve our health and "raises concerns about the possible hazards of too much of a good thing".</t>
  </si>
  <si>
    <t>WJW-TV (Cleveland, OH)</t>
  </si>
  <si>
    <t>Yogurts can make limited claim of reducing risk of type 2 diabetes: FDA</t>
  </si>
  <si>
    <t>The Mercury News</t>
  </si>
  <si>
    <t>WMAQ-TV (Chicago, IL)</t>
  </si>
  <si>
    <t>Dietary guidelines committee punts on ultra-processed food, a win for food companies</t>
  </si>
  <si>
    <t>Chicago Tribune</t>
  </si>
  <si>
    <t>You may be eating predigested food (and it's making you fatter)</t>
  </si>
  <si>
    <t>Nine News Australia</t>
  </si>
  <si>
    <t>Here are the ultraprocessed foods you most need to avoid</t>
  </si>
  <si>
    <t>Are Ultraprocessed Food Really Bad?</t>
  </si>
  <si>
    <t>Outlook (India)</t>
  </si>
  <si>
    <t>Marion Nestle describes ultraprocessed foods as those which "you can’t make in your home kitchen because you don’t have the machinery and you don’t have the ingredients."</t>
  </si>
  <si>
    <t>Are artificial sweeteners safer than sugar?</t>
  </si>
  <si>
    <t>New Zealand Herald</t>
  </si>
  <si>
    <t>Why, exactly, are ultra-processed foods so hard to resist? This study is trying to find out</t>
  </si>
  <si>
    <t>Are prebiotic sodas good for gut health?</t>
  </si>
  <si>
    <t>The Straits Times</t>
  </si>
  <si>
    <t>“If you eat a high fibre diet, you’re taking care of your prebiotics pretty well,” said Dr Marion Nestle, an emeritus professor of nutrition, food studies and public health at New York University.</t>
  </si>
  <si>
    <t>Looking for answers on the safety of artificial sweeteners</t>
  </si>
  <si>
    <t>But to completely resolve these issues of cause and effect, scientists would need to design studies that directly measure how sugar substitutes affect human health in the long term, said Dr Marion Nestle, an emeritus professor of nutrition, food studies and public health at New York University.</t>
  </si>
  <si>
    <t>The (Toronto) Star</t>
  </si>
  <si>
    <t>Aşırı işlenmiş gıdalar tüketmek ölüm riskini yüzde 4 artırıyor! 30 yıl boyunca 100 binden fazla kişinin verileri incelendi</t>
  </si>
  <si>
    <t>Karar Haber</t>
  </si>
  <si>
    <t>Marion Nestle, söz konusu araştırmanın bu alanda yapılan yüzlerce diğer araştırmayla tutarlı olduğunu vurgularken, "Bu çalışmayı benzersiz yapan şey, aşırı işlenmiş gıdalar kategorisindeki farklı alt grupları ayrıştırıyor olması" dedi.</t>
  </si>
  <si>
    <t>¿El yogur puede reducir el riesgo de diabetes tipo 2? Estas son las porciones que recomienda consumir la FDA</t>
  </si>
  <si>
    <t>La Revista - El Universo</t>
  </si>
  <si>
    <t>Pudín de chía con arándanos, yogur griego y queso cottage Foto: Pixabay
Marion Nestle, una experta en políticas alimentarias, citada por ABC News, calificó las afirmaciones de salud basadas en evidencia limitada como “absurdas a simple vista” y sin fundamento científico.</t>
  </si>
  <si>
    <t>Experts Debunk the Top 10 Nutrition Myths</t>
  </si>
  <si>
    <t>Newsmax</t>
  </si>
  <si>
    <t>Not so much, notes Marion Nestle, a renowned food expert and professor at New York University.</t>
  </si>
  <si>
    <t>Health Claims on Food Labels From Limited Evidence</t>
  </si>
  <si>
    <t>Marion Nestle, a food policy expert, said qualified health claims based on limited evidence are “ridiculous on their face.”
 Copyright 2024 The Associated Press. All rights reserved.</t>
  </si>
  <si>
    <t>The Seattle Times</t>
  </si>
  <si>
    <t>Os efeitos dos alimentos ultraprocessados revelados em teste: 'É assustador'</t>
  </si>
  <si>
    <t>Estado De Minas</t>
  </si>
  <si>
    <t>são alguns dos mais lucrativos que as empresas podem obter", diz a professora Marion Nestle, especialista em política alimentar e professor de nutrição na Universidade de Nova York.
À medida que nosso consumo aumenta, também aumentam as taxas de diabetes e câncer.</t>
  </si>
  <si>
    <t>Seattle Times</t>
  </si>
  <si>
    <t>Miami Herald</t>
  </si>
  <si>
    <t>NewsNation</t>
  </si>
  <si>
    <t>I cibi ultraprocessati che è meglio evitare secondo 30 anni di studi</t>
  </si>
  <si>
    <t>Vanity Fair (Italy)</t>
  </si>
  <si>
    <t>I risultati di questo studio sono coerenti con centinaia di altri studi condotti nel settore ma ciò che rende questa ricerca unica è proprio l’analisi di diversi sottogruppi all’interno della categoria degli alimenti ultraprocessati -  ha sottolineato infatti la dottoressa Marion Nestlé, professoressa</t>
  </si>
  <si>
    <t>The Epoch Times</t>
  </si>
  <si>
    <t>Why the Label Doesn't Mean What It Used To</t>
  </si>
  <si>
    <t>Marion Nestle, a former professor of nutrition, food studies, and public health at New York University and former senior nutrition policy adviser at the Department of Health and Human Services, told The Epoch Times that the original meaning of organic more closely resembles what many today label regenerative</t>
  </si>
  <si>
    <t>La verdad sobre los alimentos "orgánicos": ¿Por qué ya no significan lo mismo?</t>
  </si>
  <si>
    <t>Marion Nestle, exprofesora de nutrición, estudios alimentarios y salud pública en la Universidad de Nueva York y exasesora principal de política nutricional en el Departamento de Salud y Servicios Humanos, dijo a The Epoch Times que el significado original de orgánico se parece más a lo que muchos hoy</t>
  </si>
  <si>
    <t>Dapur yang Baik (Bona Culina) Menciptakan Kebiasaan dan Disiplin yang Baik (Bona Disciplina)</t>
  </si>
  <si>
    <t>Kompasiana</t>
  </si>
  <si>
    <t>Menurut ahli gizi, Marion Nestle (2006), dalam What to Eat, "Perencanaan makanan tidak hanya membantu makan lebih sehat, tetapi juga menghemat waktu dan uang." Dengan rencana menu mingguan, dapat dipastikan ketersediaan bahan dan mengurangi makanan yang terbuang.</t>
  </si>
  <si>
    <t>Tahu dan Tempe, Kisah Pembelajaran tentang Gizi di Seminari Tinggi Ritapiret</t>
  </si>
  <si>
    <t>Ahli gizi Marion Nestle dalam What to Eat (2006) menekankan pentingnya edukasi untuk mengubah kebiasaan makan. Pastor Riwu menerapkan prinsip ini dengan mengajarkan para frater bahwa makanan sehat tidak selalu enak, tetapi penting untuk dikonsumsi demi kesehatan jangka panjang.</t>
  </si>
  <si>
    <t>Menemukan Keseimbangan Sejati: Antara Makan, Kerja, dan Spiritualitas</t>
  </si>
  <si>
    <t>Menurut Marion Nestle (2006), dalam What to Eat, makanan adalah sumber energi yang dibutuhkan oleh tubuh untuk menjalankan berbagai proses biologis yang esensial.
Gizi yang baik memainkan peran penting dalam menjaga kesehatan tubuh secara keseluruhan.</t>
  </si>
  <si>
    <t>TikTok Akımı Uzmanları Ayağa Kaldırdı: Çiğ Çiğ İçiyorlar!</t>
  </si>
  <si>
    <t>Halk TV</t>
  </si>
  <si>
    <t>Marion Nestle ise çiğ süt trendinden endişeye kapıldığını ifade ederken “Sütün pastörize edilmesi, 20 Yüzyıl’ın en büyük halk sağlığı başarılarından biridir. Vaktiyle çiğ inek sütü verilen bebekler ölürdü. Sütün pastörize edilmesi, işlenmiş gıda olduğunu göstermez.</t>
  </si>
  <si>
    <t>Mondo</t>
  </si>
  <si>
    <t>National Geographic</t>
  </si>
  <si>
    <t>Nutritionist Marion Nestle, emerita professor of nutrition, food studies, and public health at New York University, says evidence on probiotics is still " quite mixed."</t>
  </si>
  <si>
    <t>la ficha polémica de Trump que apunta a un revolcón en la salud de EE. UU.</t>
  </si>
  <si>
    <t>France 24 (Español)</t>
  </si>
  <si>
    <t>Marion Nestle, profesora emérita de Nutrición, Estudios de Alimentación y Salud Pública en la Universidad de Nueva York, afirmó en entrevista con France 24 que las empresas, a menudo, financian investigaciones y ejercen presión a los agentes federales para proteger sus intereses.</t>
  </si>
  <si>
    <t>Imparare dalla natura per guardare con fiducia al futuro</t>
  </si>
  <si>
    <t>Today.it</t>
  </si>
  <si>
    <t>MedicineNet</t>
  </si>
  <si>
    <t>Food policy expert Marion Nestle told the Associated Press that qualified health claims are “ridiculous on their face.”
“Translation: If you want to believe this, go ahead, but it's not on the basis of evidence,” she added.
SOURCE: U.S.</t>
  </si>
  <si>
    <t>Adoçantes artificiais são mais seguros que o açúcar? Cientistas tentam responder</t>
  </si>
  <si>
    <t>Jornal da Record Brazil</t>
  </si>
  <si>
    <t>Mas, para resolver completamente as questões de causa e efeito, os cientistas precisarão elaborar estudos para medir diretamente os efeitos dos substitutos do açúcar sobre a saúde humana em longo prazo, observou Marion Nestle, professora emérita de nutrição, estudos alimentares e saúde pública na Universidade</t>
  </si>
  <si>
    <t>Estudo tenta descobrir por que os alimentos ultraprocessados são tão irresistíveis</t>
  </si>
  <si>
    <t>“Foi o estudo mais importante de nutrição em anos”, afirmou Marion Nestle, professora emérita de nutrição, estudos alimentares e saúde pública da Universidade de Nova York.</t>
  </si>
  <si>
    <t>Surova istina o roštilju koju Srbi nisu spremni da prihvate: Evo zašto nikad ne treba da spremate na ovaj način</t>
  </si>
  <si>
    <t>Nova.rs</t>
  </si>
  <si>
    <t>Kao i drugi kancerogeni, rizik od raka raste sa ponovljenim izlaganjem HCA i PAH, rekla je Marion Nestle, dr, MPH, autorka i gostujući profesor nutricionističkih nauka na Univerzitetu Kornel.
„Rizik od jednog izlaganja je izuzetno mali“, rekla je za Health.</t>
  </si>
  <si>
    <t>FDA Updates ‘Healthy’ Claim for Foods - but Use Is Voluntary</t>
  </si>
  <si>
    <t>Medscape</t>
  </si>
  <si>
    <t>But Marion Nestle, a nutrition expert and emeritus professor at New York University, described the new rules as “better than I thought it would be” in USA Today.</t>
  </si>
  <si>
    <t>Esta es la verdura que reemplazará a la carne como proteína, según la guía dietética de Estados Unidos - La Tercera</t>
  </si>
  <si>
    <t>La Tercera</t>
  </si>
  <si>
    <t>La Dra Marion Nestle, bióloga y científica en nutrición de la Universidad de Nueva York, analizó el informe y le explicó a CNN que “la recomendación del comité asesor es consumir más plantas, equilibrar las calorías y no ingerir demasiado sodio, azúcar y grasas saturadas”.</t>
  </si>
  <si>
    <t>Currently</t>
  </si>
  <si>
    <t>"(These programs) largely cater to the worried well," says Marion Nestle, the Paulette Goddard Professor of nutrition, food studies and public health, emerita, at New York University. These are "wealthier more educated people who tend to be generally healthy but worry about it."
Plus Dr.</t>
  </si>
  <si>
    <t>How Worried Should You Be About Ultraprocessed Foods? on Apple Podcasts</t>
  </si>
  <si>
    <t>Apple Podcasts</t>
  </si>
  <si>
    <t>She speaks with Professor Marion Nestle, a leading authority on nutrition and food policy and NIH senior investigator Kevin Hall, who conducted the first and only controlled clinical trial on ultraprocessed foods.</t>
  </si>
  <si>
    <t>Eater</t>
  </si>
  <si>
    <t>Sugar Substitutes Are Everywhere</t>
  </si>
  <si>
    <t>Consumer Reports</t>
  </si>
  <si>
    <t>“People are looking for products lower in sugar,” says Marion Nestle, PhD, professor emerita of nutrition, food studies, and public health at New York University.</t>
  </si>
  <si>
    <t>How Raw Milk Went From Hippie to MAGA</t>
  </si>
  <si>
    <t>Intelligencer</t>
  </si>
  <si>
    <t>"Pasteurization was one of the great public-health achievements of the 20th century," says Marion Nestle, a molecular biologist, nutritionist, and professor emeritus at New York University.</t>
  </si>
  <si>
    <t>Correio Braziliense</t>
  </si>
  <si>
    <t>são alguns dos mais lucrativos que as empresas podem obter", diz a professora Marion Nestle, especialista em política alimentar e professor de nutrição na Universidade de Nova York.
À medida que nosso consumo aumenta, também aumentam as taxas de diabetes e câncer.</t>
  </si>
  <si>
    <t>Amid the Jewish holiday season, understanding good nutrition is vital - opinion</t>
  </si>
  <si>
    <t>Jerusalem Post</t>
  </si>
  <si>
    <t>Marion Nestle, PhD, MPH, is a professor of nutrition, food studies and public health at New York University. She wrote that “People like buying products with a ‘health aura,’ no matter how poorly the health claim is supported by science. Science is irrelevant; marketing is what’s relevant.”</t>
  </si>
  <si>
    <t>Why is milk the default for school lunches? Big Dairy's hold over the American school system, explained.</t>
  </si>
  <si>
    <t>Vox</t>
  </si>
  <si>
    <t>好讀周報／美將更新營養指南…建議攝取植物性蛋白質 多吃豆類少吃肉 | 聯合新聞網</t>
  </si>
  <si>
    <t>United Daily News (UDN)</t>
  </si>
  <si>
    <t>紐約大學（NYU）營養、食品研究和公共衛生名譽教授瑪莉安‧內索（Marion Nestle）曾參與制定1995年膳食指南，她對於DGAC未對超加工食品的提出警示的做法感到「令人震驚」。她認為，目前已有大量證據表明美國人應該少吃超加工食品，且即將就任的川普政府似乎準備嚴厲打擊這類食品。</t>
  </si>
  <si>
    <t>CTV News</t>
  </si>
  <si>
    <t>Marion Nestle, the Paulette Goddard professor emerita of nutrition, food studies and public health at New York University.
    Do we need to get rid of all ultraprocessed foods?</t>
  </si>
  <si>
    <t>Marion Nestle, the Paulette Goddard Professor Emerita of Nutrition, Food Studies and Public Health at New York University. She was not involved in the research.
    "We've known this for a long time but it's good to have less kidney disease added to the benefits," she said.</t>
  </si>
  <si>
    <t>L’equilibrio perduto tra l’uomo e il pianeta</t>
  </si>
  <si>
    <t>La Stampa</t>
  </si>
  <si>
    <t>Tante le voci importanti, nazionali e internazionali che si intrecciano in dialoghi fruttuosi: di politiche alimentari e nutrizione, ad esempio, parla l’autrice best seller e biologa statunitense Marion Nestle, sostenitrice della causa della salute pubblica, interviene nel panel “Contro Natura: il potere</t>
  </si>
  <si>
    <t>Mengenal Pemanis Buatan Pengganti Gula, Mungkinkah Lebih Sehat dari Gula?</t>
  </si>
  <si>
    <t>Tempo.co</t>
  </si>
  <si>
    <t>Namun, untuk sepenuhnya menyelesaikan masalah sebab dan akibat ini, para ilmuwan perlu merancang studi yang secara langsung mengukur bagaimana pengganti gula mempengaruhi kesehatan manusia dalam jangka panjang, kata Marion Nestle, seorang profesor emeritus nutrisi, studi makanan, dan kesehatan masyarakat</t>
  </si>
  <si>
    <t>Iklan
 Scroll Untuk Melanjutkan
Marion Nestle, pakar kebijakan pangan, bahkan menyebut klaim kesehatan yang memenuhi syarat berdasarkan bukti terbatas adalah “konyol”.</t>
  </si>
  <si>
    <t>Can Grilling Meat Raise Your Cancer Risk?</t>
  </si>
  <si>
    <t>Health</t>
  </si>
  <si>
    <t>Like other carcinogens, the risk of cancer rises with repeated exposure to HCAs and PAHs, said Marion Nestle, PhD, MPH, author and visiting professor of nutritional sciences at Cornell University.
 “The risk of one exposure is extremely small,” she told Health.</t>
  </si>
  <si>
    <t>Rahasia Sehat dan Bugar, Panduan Lengkap Nutrisi Seimbang untuk Tubuh yang Prima</t>
  </si>
  <si>
    <t>Pikiran Rakyat</t>
  </si>
  <si>
    <t>Marion Nestle, menyarankan untuk menghindari makanan olahan dan memilih makanan alami.
Buah, sayuran, protein tanpa lemak, biji-bijian, dan lemak sehat harus menjadi bagian utama dari diet Anda.
Baca Juga: HUT Bhayangkara ke-78!</t>
  </si>
  <si>
    <t>TIME</t>
  </si>
  <si>
    <t>“Infections caused by raw milk are rare,” says Marion Nestle, professor emerita of nutrition, food studies, and public health at New York University, “but when they occur they can be deadly, especially to children. This is a risk I would rather not take.”
Nestle is not alone in sounding the alarm.</t>
  </si>
  <si>
    <t>n1info.rs</t>
  </si>
  <si>
    <t>NewsBreak</t>
  </si>
  <si>
    <t>Nobody Really Knows If Pets Are Good for Your Health</t>
  </si>
  <si>
    <t>The Atlantic</t>
  </si>
  <si>
    <t>“Industry-funded studies tend to produce results that favor the sponsor’s interest,” says Marion Nestle, an emeritus professor at New York University who has spent decades studying corporate influence on science.</t>
  </si>
  <si>
    <t>Coke, Twinkies, Skittles, and … Whole-Grain Bread?</t>
  </si>
  <si>
    <t>Marion Nestle, an emeritus professor of nutrition at New York University who has defended the NOVA system, told me she wasn’t sure whether the bread I was eating qualifies as an ultra-processed food, because, despite having an industrial additive mixed in, it was made mostly from actual whole foods.</t>
  </si>
  <si>
    <t>Sosyal Medyayı Kasıp Kavuran Yeni 'Tehlike': Çiğ Süt!</t>
  </si>
  <si>
    <t>Onedio.com</t>
  </si>
  <si>
    <t>Menanti Regulasi Konsumsi Gula</t>
  </si>
  <si>
    <t>Detik News</t>
  </si>
  <si>
    <t>Dalam artikel berjudul Regulating the Food Industry: An Aspirational Agenda di American Journal of Public Health (2022), Marion Nestle, seorang Guru Besar (Emeritus) bidang Gizi dan Kesehatan Masyarakat di New York University, secara tegas memaparkan bahwa makanan ultra-olahan yang saat ini dipasarkan</t>
  </si>
  <si>
    <t>As porções dos restaurantes estão prestes a ficar menores. Os consumidores estão prontos?</t>
  </si>
  <si>
    <t>Estadão</t>
  </si>
  <si>
    <t>“Depois de nos habituarmos a porções maiores, qualquer coisa que se pareça com uma porção de tamanho normal parece que estamos sendo enganados”, disse Marion Nestle, professora emérita de nutrição, estudos alimentares e saúde pública na Universidade de Nova Iorque, que pesquisou a ligação entre o tamanho</t>
  </si>
  <si>
    <t>Adoçante xilitol é ligado a um maior risco de infarto e derrame; especialistas analisam</t>
  </si>
  <si>
    <t>“Este estudo acrescenta a um corpo crescente de literatura sobre os potenciais problemas fisiológicos causados por adoçantes artificiais”, escreveu Marion Nestle, professora emérita de nutrição na Universidade de Nova York, em um e-mail.</t>
  </si>
  <si>
    <t>Thức ăn chó mèo: Một thành công khác của ngành tiếp thị</t>
  </si>
  <si>
    <t>Tuổi Trẻ Online</t>
  </si>
  <si>
    <t>Marion Nestle, giáo sư dinh dưỡng và khoa học thực phẩm Đại học New York, thẳng thắn nhắc chúng ta nhớ, động vật thường ăn cả chất thải của con người.</t>
  </si>
  <si>
    <t>The Good Eater: A Vegan’s Search for the Future of Food</t>
  </si>
  <si>
    <t>MIT</t>
  </si>
  <si>
    <t>—Marion Nestle, Professor of Nutrition, Food Studies, and Public Health, emerita, New York University, and author of FOOD POLITICS
“Nina Guilbeault is the consummate guide to modern veganism.</t>
  </si>
  <si>
    <t>As the New York University nutrition professor Marion Nestle , “Yogurt, it seems, has performed a marketing miracle: it is a fast-selling dessert with the aura of a health food.”</t>
  </si>
  <si>
    <t>The federal government’s role in those TikTok ads for milk and pork</t>
  </si>
  <si>
    <t>Breakfast Is The Most Important Meal Of The Day — Or Is It? - NewsBreak</t>
  </si>
  <si>
    <t>Marion Nestle , guess again. Nestle doesn’t do breakfast, either. “I prefer eating when I’m hungry, and I rarely get hungry before 10:30 or later,” she said. 
 As for all those studies talking about breakfast being the most important meal of the day, Nestle advises reading the fine print.</t>
  </si>
  <si>
    <t>“Literally hundreds of studies link ultra-processed foods to obesity, cancer, cardiovascular disease and overall mortality,” Marion Nestle, author of books on food politics and marketing, as well as a professor emerita of nutrition and food studies at New York University, .</t>
  </si>
  <si>
    <t>Processed foods are hiding in plain sight — and that could be a big public health problem - NewsBreak</t>
  </si>
  <si>
    <t>It's also quite salty and high in fat , so it falls in the category of enjoy in moderation," said Marion Nestle , professor of nutrition, food studies and public health at New York University, in an email to NPR. 
 Stay away from the overly processed kind, which tends to be higher in sodium.</t>
  </si>
  <si>
    <t>The Science of Pet Ownership Needs a Reality Check</t>
  </si>
  <si>
    <t>Marion Nestle, a food policy expert, said qualified health claims based on limited evidence are “ridiculous on their face.” 
 “Translation: If you want to believe this, go ahead, but it’s not on the basis of evidence,” she said. 
 Copyright 2024 Nexstar Media Inc. All rights reserved.</t>
  </si>
  <si>
    <t>SFGate</t>
  </si>
  <si>
    <t>The USDA's Dietary Guidelines Are Getting an Overhaul — and the Meat Industry Is Pissed</t>
  </si>
  <si>
    <t>Food &amp; Wine</t>
  </si>
  <si>
    <t>"I’m stunned by the whole thing,” Marion Nestle, author and professor emerita of nutrition and food studies at New York University, shared with the New York Times at the time.</t>
  </si>
  <si>
    <t>Mondelez adota IA para renovar clássicos e criar novos snacks</t>
  </si>
  <si>
    <t>Exame</t>
  </si>
  <si>
    <t>Segundo Marion Nestle, professora emérita de nutrição da Universidade de Nova York, “extensões de marca funcionam porque os consumidores aceitam novidades que ainda remetem aos produtos que conhecem e confiam”.
Embora a IA tenha se tornado uma ferramenta central, há limites claros.</t>
  </si>
  <si>
    <t>Axios Vitals</t>
  </si>
  <si>
    <t>Axios</t>
  </si>
  <si>
    <t>What they're saying: "This is the first time that I've heard anybody at that level talk about issues related to the food system in general and chronic disease in particular in a very, very long time," Marion Nestle, an emerita professor of nutrition at New York University, told Axios.</t>
  </si>
  <si>
    <t>The political lens on food is changing</t>
  </si>
  <si>
    <t>Vì sao thức ăn quyến rũ được bọn mèo?</t>
  </si>
  <si>
    <t>The global power of Big Agriculture’s lobbying</t>
  </si>
  <si>
    <t>Financial Times</t>
  </si>
  <si>
    <t>What ‘Make America Healthy Again’ Gets Right and Wrong About Our Health</t>
  </si>
  <si>
    <t>Men's Health</t>
  </si>
  <si>
    <t>But we should be “very skeptical” about Trump’s ability or intention to do those things, according to Marion Nestle, Ph.D., a professor of Nutrition, Food Studies, and Public Health at NYU, who was present at a recent MAHA roundtable event.</t>
  </si>
  <si>
    <t>CNN en Español</t>
  </si>
  <si>
    <t>Pesquisa tenta desvendar como os alimentos ultraprocessados afetam a saúde</t>
  </si>
  <si>
    <t>Folha de S.Paulo</t>
  </si>
  <si>
    <t>Foi "o estudo mais importante feito em nutrição em anos", afirma Marion Nestle, professora emérita de nutrição, estudos alimentares e saúde pública na Universidade de Nova York.</t>
  </si>
  <si>
    <t>Comitê de nutrição nos EUA não inclui orientações sobre ultraprocessados em diretrizes</t>
  </si>
  <si>
    <t>Marion Nestle, professora emérita de nutrição, estudos alimentares e saúde pública na Universidade de Nova York, diz que, em sua opinião, o comitê estabeleceu um padrão muito alto para os estudos que incluíram em sua revisão e deixou de fora evidências importantes sobre alimentos ultraprocessados.</t>
  </si>
  <si>
    <t>Ciência Fundamental: A dúbia relação entre a ciência e a indústria de alimentos</t>
  </si>
  <si>
    <t>Outros tantos estudos análogos podem ser encontrados no blog Food Politics, mantido por Marion Nestle (nada a ver com a gigante dos alimentos), professora emérita da Faculdade de Nutrição, Estudos Alimentares e Saúde Pública da Universidade de Nova York.</t>
  </si>
  <si>
    <t>Assim como o açúcar, adoçantes também podem trazer riscos à saúde, dizem especialistas</t>
  </si>
  <si>
    <t>Mas para resolver completamente essas questões de causa e efeito, os cientistas precisariam elaborar estudos que meçam diretamente como os substitutos do açúcar afetam a saúde humana a longo prazo, diz Marion Nestle, professora emérita de nutrição, estudos alimentares e saúde pública na Universidade</t>
  </si>
  <si>
    <t>EatingWell</t>
  </si>
  <si>
    <t>A Lot Of What RFK Says Is Bulls**t — But Not Everyone Dunking On Him Is Right, Either</t>
  </si>
  <si>
    <t>HuffPost</t>
  </si>
  <si>
    <t>Is RFK Jr. going mainstream?</t>
  </si>
  <si>
    <t>Politico Nightly Newsletter</t>
  </si>
  <si>
    <t>Marion Nestle, a nutrition professor at New York University and a vocal critic of the food system, rejects Kennedy’s positions on raw milk and vaccines, yet she has expressed astonishment at how he has elevated issues she’s pushed for decades.</t>
  </si>
  <si>
    <t>Progressive groups share many of RFK Jr.’s goals. They’re opposing him anyway.</t>
  </si>
  <si>
    <t>POLITICO</t>
  </si>
  <si>
    <t>wondered Marion Nestle, a professor at New York University and longtime critic of the nation’s food system who nonetheless hopes Kennedy can make some headway.
Colorado Gov. Jared Polis is a rare exception in his enthusiasm for Kennedy.</t>
  </si>
  <si>
    <t>RFK will have an early opportunity to influence what Americans eat</t>
  </si>
  <si>
    <t>But nutritionists like Marion Nestle, a professor at New York University, noted that the report shied away from a full-throated criticism of ultra-processed foods — one of Kennedy’s top targets.</t>
  </si>
  <si>
    <t>L'Ozempic può diventare una "minaccia esistenziale per l’industria alimentare": nei supermercati arrivano i prodotti ad hoc per chi assume il farmaco dimagrante - Il Fatto Quotidiano</t>
  </si>
  <si>
    <t>Il Fatto Quotidiano</t>
  </si>
  <si>
    <t>e farmaci simili nelle abitudini alimentari dei consumatori potrebbe rappresentare una “minaccia esistenziale per l’industria alimentare e quella degli alimenti trasformati”, ha dichiarato la professoressa emerita di nutrizione, studi sull’alimentazione e salute pubblica all’Università di New York, Marion … Nestle, in un’intervista al New York Times lo scorso gennaio.</t>
  </si>
  <si>
    <t>Is America’s love of ice cream melting away? Unilever’s break-up with Ben &amp; Jerry’s isn’t the only sign.</t>
  </si>
  <si>
    <t>MarketWatch</t>
  </si>
  <si>
    <t>But it may not entirely be the case that people have fallen out of love with ice cream, said Marion Nestle, a nutritionist and public health advocate as well as a professor of nutrition and food studies at New York University. </t>
  </si>
  <si>
    <t>Deadline</t>
  </si>
  <si>
    <t>Endişe yaratan çiğ süt modası</t>
  </si>
  <si>
    <t>Milliyet</t>
  </si>
  <si>
    <t>El alimento que podría reducir el riesgo de diabetes tipo 2, según la FDA: pautas específicas y cómo consumirlo</t>
  </si>
  <si>
    <t>El Tiempo</t>
  </si>
  <si>
    <t>kombucha #kombuchabrewing #kombuchalover #scoby ♬ orijinal ses - 𝓥𝓮𝓷𝓾̈𝓼 
En cuanto a la bebidas prebióticas y probióticas como el vinagre de sidra de manzana y la kombucha, algunos especialistas prefieren mantener en duda los supuestos beneficios que contienen, como es el caso de la nutricionista Marion … Nestle, quien no recomienda recurrir a los probióticos, salvo por aquellos que deban consumirlos o tengan dificultades digestivas, según ‘National Geographic’.</t>
  </si>
  <si>
    <t>¿Azúcar o edulcorante? Los riesgos de los sustitutos artificiales en el organismo</t>
  </si>
  <si>
    <t>Jim Krieger, profesor emérito de la Universidad de Washington, y Marion Nestle, profesora emérita de la Universidad de Nueva York, coinciden en que los estudios sobre los efectos de los edulcorantes en humanos a largo plazo son complicados de realizar.</t>
  </si>
  <si>
    <t>Breakfast Is The Most Important Meal Of The Day — Or Is It?</t>
  </si>
  <si>
    <t>Drugs.com</t>
  </si>
  <si>
    <t>Food policy expert Marion Nestle told the Associated Press that qualified health claims are “ridiculous on their face.”
“Translation: If you want to believe this, go ahead, but it’s not on the basis of evidence,” she added.
Sources
 U.S.</t>
  </si>
  <si>
    <t>HHS study brews controversy on the Hill</t>
  </si>
  <si>
    <t>The agencies write the guidelines, which is why the election matters,” Marion Nestle, a nutritionist and former HHS nutrition policy adviser, told POLITICO.
WELCOME TO WEDNESDAY PULSE.</t>
  </si>
  <si>
    <t xml:space="preserve">The federal government’s role in those TikTok ads for milk and pork
</t>
  </si>
  <si>
    <t>Il tuo prossimo snack preferito potrebbe essere creato dall'IA: il caso Oreo</t>
  </si>
  <si>
    <t>Fanpage.it</t>
  </si>
  <si>
    <t>Come ha spiegato Marion Nestle, professore di nutrizione, studi alimentari e salute pubblica alla New York University, "c'è ancora molto bisogno di assaggiatori umani."
 0
 CONDIVISIONI</t>
  </si>
  <si>
    <t>Is It Time We Started Bringing Our Own Containers to Restaurants?</t>
  </si>
  <si>
    <t>Food Network</t>
  </si>
  <si>
    <t>I know people [who] are doing this, or its equivalent, already,” said Marion Nestle, a professor of Food and Nutrition Studies, and Public Health, at New York University, who seemed unmoved by the question.</t>
  </si>
  <si>
    <t>Congress’ failure to pass the farm bill reflects a long history of hunger as a political tool</t>
  </si>
  <si>
    <t>The Hill</t>
  </si>
  <si>
    <t>Marion Nestle, New York University emeritus professor of nutrition, food studies and public health, describes this as “welfare for the richest possible farmers — it’s basically money for Big Agriculture.”</t>
  </si>
  <si>
    <t>30 yıl boyunca 100.000'den fazla kişinin verileri incelendi, sonuçlar dikkat çekici: En az tüketen günde 3 porsiyon yiyor! Hangi aşırı işlenmiş gıdaları hayatımızdan çıkarmalıyız?</t>
  </si>
  <si>
    <t>Hurriyet</t>
  </si>
  <si>
    <t>Marion Nestle, söz konusu araştırmanın bu alanda yapılan yüzlerce diğer araştırmayla tutarlı olduğunu vurgularken, "Bu çalışmayı benzersiz yapan şey, aşırı işlenmiş gıdalar kategorisindeki farklı alt grupları ayrıştırıyor olması" dedi.
BÜTÜN AŞIRI İŞLENMİŞ GIDALARI HAYATIMIZDAN ÇIKARMALI MIYIZ?</t>
  </si>
  <si>
    <t>Gerçekten çok yediğimiz için mi kilo alıyoruz? Patates, inek sütü, yağlı besinler zararlı mı? | Uzmanların 'Yeter artık' dediği 10 beslenme efsanesi</t>
  </si>
  <si>
    <t>Marion Nestle, "Bu doğru değil" dedi ve ekledi: "Obezite, Tip 2 diyabet ve kalp hastalığı gibi sorunları önlemeye ilişkin beslenme tavsiyeleri 1950'lerde ilk ortaya çıktığında, kalori dengesi kurulması, doymuş yağlardan, tuzdan ve şekerden zengin gıdaların tüketiminin azaltılması öneriliyordu.</t>
  </si>
  <si>
    <t>Aşırı işlenmiş gıdaları ele veren 9 ipucu: Kararsız kaldığınızda kendinize bu soruyu sorun</t>
  </si>
  <si>
    <t>Xataka</t>
  </si>
  <si>
    <t>El poder mundial del lobby agrícola</t>
  </si>
  <si>
    <t>ELCRONISTA</t>
  </si>
  <si>
    <t>"Sólo tienen que decir que los estudios no fueron lo suficientemente extensos; que no registran la cantidad adecuada de personas; que arrojaron resultados no concluyentes", enumera Marion Nestle, profesora de nutrición, estudios alimentarios y salud pública en la Universidad de Nueva York.</t>
  </si>
  <si>
    <t>Liputan6</t>
  </si>
  <si>
    <t>"Banyak orang tidak menyukai sayuran karena mereka tidak terbiasa dengan rasa dan teksturnya," kata ahli gizi Marion Nestle.
 2. Pengalaman Masa Kecil
Pengalaman buruk dengan sayuran di masa kecil dapat meninggalkan kesan negatif yang bertahan hingga dewasa.</t>
  </si>
  <si>
    <t>Big Junk Food’s Campaign to Get You Eating Doritos and Oreos for Dinner</t>
  </si>
  <si>
    <t>Bloomberg News</t>
  </si>
  <si>
    <t>La razón por la que la comida de los aviones sabe tan mal</t>
  </si>
  <si>
    <t>La Vanguardia</t>
  </si>
  <si>
    <t>El helado es otra opción segura, según Marion Nestle, profesora de nutrición, estudios alimentarios y salud pública en la Universidad de Nueva York.</t>
  </si>
  <si>
    <t>¿Los consejos sobre nutrición cambian constantemente? Un experto sentencia</t>
  </si>
  <si>
    <t>En un artículo para New York Times, la doctora Marion Nestle, profesora emérita de nutrición, estudios alimentarios y salud pública en la Universidad de Nueva York, abordaba el tan arraigado mito de que los consejos sobre nutrición cambian constantemente y responde de forma tajante: “Esto no es así”.</t>
  </si>
  <si>
    <t>Kraft CEO breaks silence on 'concerning' levels of lead found in Lunchables &amp; says he eats snack 'several times a week'</t>
  </si>
  <si>
    <t>The U.S. Sun</t>
  </si>
  <si>
    <t>According to Marion Nestle, a nutrition professor emerita at New York University, big food companies struggle to promote healthy food options. 
In April, Consumer Reports urged the U.S.</t>
  </si>
  <si>
    <t>Por que os pratos estão ficando menores nos restaurantes? Fenômeno da reduflação chega à mesa nos EUA, e clientes torcem o nariz</t>
  </si>
  <si>
    <t>O Globo</t>
  </si>
  <si>
    <t>Parece péssimo para as pessoas — disse Marion Nestle, professora emérita de nutrição, estudos alimentares e saúde pública da Universidade de Nova York, que pesquisou a ligação entre tamanho de porção e obesidade.</t>
  </si>
  <si>
    <t>Des Américains boivent du lait cru pour être plus virils, et c’est un danger pour leur santé</t>
  </si>
  <si>
    <t>L'édition du soir</t>
  </si>
  <si>
    <t>Le Dr Marion Nestle, professeur émérite en nutrition à l’Université de New York, n’hésite pas à qualifier la popularité du lait cru d’« anti-scientifique ». « La pasteurisation est l’une des grandes réussites de la santé publique moderne », rappelle-t-elle à , soulignant qu’avant cette découverte, le</t>
  </si>
  <si>
    <t>RFK Jr.-Approved Influencers Calley and Casey Means Could Take Top Health Roles in Trump Admin</t>
  </si>
  <si>
    <t>The Wall Street Journal</t>
  </si>
  <si>
    <t>“If the right wing wants to make America healthy again, I think that’s fantastic,” said Marion Nestle, a nutrition professor emerita at New York University, who shares the Means duo’s concerns over ultraprocessed foods and would like to expunge industry funding of research.</t>
  </si>
  <si>
    <t>Oreo Owner Mondelez Taps AI to Tweak Its Classic Snacks</t>
  </si>
  <si>
    <t>Food companies like Mondelez are racing to try out AI in every area of their business, from supply chains to marketing to recipe development, said Marion Nestle, professor emerita of nutrition, food studies and public health at New York University. </t>
  </si>
  <si>
    <t>Aol</t>
  </si>
  <si>
    <t>Opinion - Congress’ failure to pass the farm bill reflects a long history of hunger as a political tool</t>
  </si>
  <si>
    <t>Marion Nestle, New York University emeritus professor of nutrition, food studies and public health, describes this as “welfare for the richest possible farmers — it’s basically money for Big Agriculture.”</t>
  </si>
  <si>
    <t>Ultra-processing, said nutritionist Marion Nestle, is "industrially produced foods formulated to be irresistibly delicious that can't be made in home kitchens."
This category can include many breakfast cereals, yogurts, chicken nuggets and plant-based meat alternatives.</t>
  </si>
  <si>
    <t>Whatever," says Marion Nestle, the Paulette Goddard Professor of nutrition, food studies and public health, emerita, at New York University. "I know people who love these tests and I've seen people walking around with glucose monitors who do not have either type 1 or type 2.</t>
  </si>
  <si>
    <t>Eventbrite</t>
  </si>
  <si>
    <t>The Role of Technology at The Nexus of Affordability, Nutrition, Food Waste</t>
  </si>
  <si>
    <t>, Feeding America
Nick Bertram, CEO and President, Flashfood
Julia DeSantis, Head of Sustainability, Farmlink
Brandon Lombardi, Chief Sustainability Officer and Chief Legal Officer, Sprouts Farmers Markets
Moderated by Sweta Chakraborty, CEO, We Don't Have Time North America
Fireside Chat with Marion … Nestle and Dariush Mozaffarian
Marion Nestle, New York University
Dariush Mozaffarian, Director, the Food is Medicine Institute at Tufts University
Moderated by Danielle Nierenberg, President, Food Tank
Nutrition, Healthier Choices, Food as Medicine Panel Discussion
Chef Priyanka Naik, NYC based</t>
  </si>
  <si>
    <t>RFK Jr's No. 1 hurdle to take on unhealthy food: money</t>
  </si>
  <si>
    <t>Difficult but not impossible
Marion Nestle, professor emerita of nutrition, food studies and public health at New York University, said that even with limited funds, it's not impossible to take on the food industry, noting Kennedy isn't the only public figure who's tackled unhealthy foods.</t>
  </si>
  <si>
    <t>How public health officials rapidly traced the source of the McDonald's E. coli outbreak</t>
  </si>
  <si>
    <t>Determining the root cause of a foodborne illness outbreak is "really tough and very difficult work," said Marion Nestle, professor emerita of nutrition, food studies and public health at New York University.</t>
  </si>
  <si>
    <t>What 'Make America Healthy Again' Gets Right and Wrong About Our Health</t>
  </si>
  <si>
    <t>But we should be "very skeptical" about Trump's ability or intention to do those things, according to Marion Nestle, Ph.D., a professor of Nutrition, Food Studies, and Public Health at NYU, who was present at a recent MAHA roundtable event.</t>
  </si>
  <si>
    <t>Kaitan Makanan Ultra Proses dengan Risiko Kematian Dini dan Penyakit</t>
  </si>
  <si>
    <t>Kompas.com</t>
  </si>
  <si>
    <t>Marion Nestle, temuan Song memang sejalan dengan banyak penelitian lain di lapangan.
Namun, yang membuat penelitian Song unik adalah penguraian subkelompok berbeda dalam kategori makanan ultra proses.
Baca juga: Makanan Ultra Proses Membahayakan Tubuh dan Otak, Apa Maksudnya?</t>
  </si>
  <si>
    <t>Menggugat "Gastro-Colonialism"</t>
  </si>
  <si>
    <t>Marion Nestle, penulis buku “Unsavory Truth: How the Food Industry Skews the Science of What We Eat,” menjelaskan bagaimana sebagian dari para raksasa global perusahaan makanan dan minuman memproduksi dan memasarkan makanan mereka dengan bias ilmu pengetahuan di baliknya.</t>
  </si>
  <si>
    <t>Clarín (Argentina)</t>
  </si>
  <si>
    <t>U.S. News and World Report</t>
  </si>
  <si>
    <t>The Telegraph</t>
  </si>
  <si>
    <t>News about dark chocolate &amp; diabetes drawing false conclusions</t>
  </si>
  <si>
    <t>Substack</t>
  </si>
  <si>
    <t>Pressure to publish: “Marion Nestle, a professor of nutrition, food studies and public health at New York University, said that many researchers are under enormous pressure to churn out papers. One recent analysis found that thousands of scientists publish a paper every five days.</t>
  </si>
  <si>
    <t>Oreo owner Mondelez taps AI to tweak its classic snacks</t>
  </si>
  <si>
    <t>Mint</t>
  </si>
  <si>
    <t>Food companies like Mondelez are racing to try out AI in every area of their business, from supply chains to marketing to recipe development, said Marion Nestle, professor emerita of nutrition, food studies and public health at New York University.</t>
  </si>
  <si>
    <t>A $10 Off Sale and a Book Giveaway</t>
  </si>
  <si>
    <t>Thanks to Marion Nestle and Leah Koenig for giving me the idea and courage to speak up (and in Marion’s case, the video and text).
Ren Behan started a Substack newsletter called Kitchen Culture. 
Anna Mindess wrote 5 NYC Chocolatiers Infuse Confections with Culture for Chocolate Professor.</t>
  </si>
  <si>
    <t>ABC News</t>
  </si>
  <si>
    <t>La Nación (Argentina)</t>
  </si>
  <si>
    <t>Food Safety Experts Share 3 Ways To Make Sure You’re Buying The Safest Meat Possible</t>
  </si>
  <si>
    <t>BuzzFeed</t>
  </si>
  <si>
    <t>Veja quais alimentos podem reduzir risco de doenças cardíacas e renais</t>
  </si>
  <si>
    <t>CNN Brasil</t>
  </si>
  <si>
    <t>O estudo é apenas o mais recente em um crescente campo de pesquisas sobre os benefícios para a saúde de dietas ricas em plantas, conforme explica Marion Nestle, professora emérita Paulette Goddard de Nutrição, Estudos Alimentares e Saúde Pública na Universidade de Nova York.</t>
  </si>
  <si>
    <t>Terra</t>
  </si>
  <si>
    <t>"Alimentos ultraprocessados são alguns dos mais lucrativos que as empresas podem obter", diz a professora Marion Nestle, especialista em política alimentar e professor de nutrição na Universidade de Nova York.
À medida que nosso consumo aumenta, também aumentam as taxas de diabetes e câncer.</t>
  </si>
  <si>
    <t>NPR</t>
  </si>
  <si>
    <t>It's also quite salty and high in fat, so it falls in the category of enjoy in moderation," said Marion Nestle, professor of nutrition, food studies and public health at New York University, in an email to NPR.
Stay away from the overly processed kind, which tends to be higher in sodium.</t>
  </si>
  <si>
    <t>Sugar substitutes are everywhere. How safe are they to eat?</t>
  </si>
  <si>
    <t>The Washington Post</t>
  </si>
  <si>
    <t>"People are looking for products lower in sugar," says Marion Nestle, professor emerita of nutrition, food studies and public health at New York University.</t>
  </si>
  <si>
    <t>10 nutrition myths busted by dietitians</t>
  </si>
  <si>
    <t>India Today</t>
  </si>
  <si>
    <t>According to Marion Nestle, a professor emerita of nutrition, food studies and public health at New York University, the best nutrition advice doesn't keep changing.</t>
  </si>
  <si>
    <t>Alternative sodas vs. regular soft drinks: Are any actually healthy?</t>
  </si>
  <si>
    <t>Dietary guidelines may promote plants but punt on ultra-processed foods</t>
  </si>
  <si>
    <t>The committee's failure to take a stance against ultra-processed foods is "shocking," said Marion Nestle, an emeritus professor of nutrition, food studies and public health at New York University who served on the dietary guidelines advisory committee in 1995.</t>
  </si>
  <si>
    <t>Yahoo Finance</t>
  </si>
  <si>
    <t>“The food industry ought to be quaking in its boots, but they don’t think it’s going to happen,” Marion Nestle, a leading authority on nutrition and food policy at New York University, said in an interview last week with CNN.
 A box of J.M. Smucker Co.</t>
  </si>
  <si>
    <t>Associated Press</t>
  </si>
  <si>
    <t>NBC News</t>
  </si>
  <si>
    <t>Difficult but not impossible
Marion Nestle, professor emerita of nutrition, food studies and public health at New York University, said that even with limited funds, it’s not impossible to take on the food industry, noting Kennedy isn’t the only public figure who’s tackled unhealthy foods.</t>
  </si>
  <si>
    <t>How public health officials rapidly traced the source of the McDonald’s E. coli outbreak</t>
  </si>
  <si>
    <t>Determining the root cause of a foodborne illness outbreak is “really tough and very difficult work,” said Marion Nestle, professor emerita of nutrition, food studies and public health at New York University.</t>
  </si>
  <si>
    <t>The Independent</t>
  </si>
  <si>
    <t>Yahoo News</t>
  </si>
  <si>
    <t>玉米是冠心病“导火索”?医生告诫:不想心脏罢工，3种食物别嘴馋</t>
  </si>
  <si>
    <t>163.com (NetEase)</t>
  </si>
  <si>
    <t>正如美国著名的营养学家Marion Nestle所说:"吃真正的食物。不要吃太多。主要吃植物。"这简单的建议，或许是我们追求健康生活的最佳指南。
对此，您有什么看法？欢迎评论区一起讨论！
【本内容为虚构小故事，文中出现的任何人名、地名、或所涉及的其它方面，均与现实无关(不含任何隐射)。 如有雷同，纯属巧合，请理性阅读。】</t>
  </si>
  <si>
    <t>More beans and less red meat: Nutritionists weigh in on US dietary...</t>
  </si>
  <si>
    <t>Daily Mail</t>
  </si>
  <si>
    <t>New report recommends changing US dietary guidelines</t>
  </si>
  <si>
    <t>Dr Marion Nestle, a food policy expert in New York, added: 'This particular statement says nothing about balancing calories, when overconsumption of calories, especially from ultra-processed foods, is the biggest challenge to the health of Americans.'</t>
  </si>
  <si>
    <t>Americans could be told to stop eating red meat and rice and switch to plant protein under new Trump Admin</t>
  </si>
  <si>
    <t>But despite mounting pressure, the cereal giant is unlikely to make changes, according to Marion Nestle, a top nutritionist who was a professor at New York University for almost 30 years.</t>
  </si>
  <si>
    <t>New dietary guidelines recommend more plant-based foods, limit processed items and added sugars</t>
  </si>
  <si>
    <t>Hindustan Times</t>
  </si>
  <si>
    <t>Impossible meat recall sparks warning in 8 states</t>
  </si>
  <si>
    <t>Newsweek</t>
  </si>
  <si>
    <t>How safe is US food? Experts' verdicts after listeria, E.  coli outbreaks</t>
  </si>
  <si>
    <t>RFK Jr Appointment Leaves Doctors Aghast: 'Extraordinarily Bad Choice'</t>
  </si>
  <si>
    <t>"If the right wing wants to make America healthy again, I think that's fantastic," Marion Nestle, a nutrition professor emerita at New York University, told the Wall Street Journal.
fairness meter
fairness meter
Newsweek is committed to journalism that's factual and fair.</t>
  </si>
  <si>
    <t>Can eating yogurt really reduce your risk of Type 2 diabetes?</t>
  </si>
  <si>
    <t>A Deep Dive into Food Politics, Nutrition, and the Impact of the Food Industry</t>
  </si>
  <si>
    <t>Medium</t>
  </si>
  <si>
    <t>#### Introduction: The Power of Food and Nutrition
In a world where food and health intersect with politics, economics, and culture, few voices are as influential as Marion Nestle's. … Nestle continues to advocate for research and development in these fields to create a more sustainable food future.
#### Conclusion: The Legacy of Marion Nestle Marion Nestle's work stands as a beacon of clarity and advocacy in the often murky world of food politics and nutrition.</t>
  </si>
  <si>
    <t>How Nausher Khan Of Red Rabbit Is Helping To Address The Growing Challenge Of Food Insecurity</t>
  </si>
  <si>
    <t>Authority Magazine</t>
  </si>
  <si>
    <t>People such as Marion Nestle, a notable academic who has worked for decades on advocating for institutional food reform and social welfare spending as necessary tools to combat food insecurity.</t>
  </si>
  <si>
    <t>Gliding the Snackscape: A Journey through Time, Taste, and Health</t>
  </si>
  <si>
    <t>“As Marion Nestle wisely notes, 'Eat food, not too much, mostly plants.' Let our snacks be a celebration of real, whole foods that nurture both body and soul."</t>
  </si>
  <si>
    <t>Book Review- In Defense of Food by Michael Pollan</t>
  </si>
  <si>
    <t>As Marion Nestle, a New York University nutritionist points out, "The problem with nutrient-by-nutrient nutrition science, is that it takes the nutrient out of the context of the food, the food out of the context of the diet, and the diet out of the context of the lifestyle" (Pollan 62).</t>
  </si>
  <si>
    <t>FDA allows YOGURT labels to claim snack may reduce the risk of diabetes - despite many being loaded with sugar (which CAUSES condition)</t>
  </si>
  <si>
    <t>Marion Nestle, a food policy expert, said qualified health claims based on limited evidence are 'ridiculous on their face.'
'Translation: If you want to believe this, go ahead, but it's not on the basis of evidence,' she said.</t>
  </si>
  <si>
    <t>Movie Review: `Food, Inc. 2´ revisits food system, sees reason for...</t>
  </si>
  <si>
    <t>Six misleading food labels that are wrecking your weight-loss</t>
  </si>
  <si>
    <t>And others — such as 'no cholesterol' — are deployed to give products a 'health halo' and encourage shoppers to pick them up, according to Nutritionists Dr Marion Nestle, from New York University, and Amy Keating, from Consumer Reports.</t>
  </si>
  <si>
    <t>Marion Nestle, a food policy expert, said qualified health claims based on limited evidence are "ridiculous on their face."
The Associated Press Health and Science Department receives support from the Howard Hughes Medical Institute´s Science and Educational Media Group.</t>
  </si>
  <si>
    <t>Marion Nestle, a food policy expert, previously told the Daily Mail, that the idea that high sugar yogurt brands are healthy is 'ridiculous' and not evidence based.
If you still want to enjoy a dairy treat, Manaker recommended picking a high-protein yogurt without fruit added.</t>
  </si>
  <si>
    <t>Yogurts can make limited claim that the food reduces risk of type 2...</t>
  </si>
  <si>
    <t>The Guardian</t>
  </si>
  <si>
    <t>USA Today</t>
  </si>
  <si>
    <t>"(These programs) largely cater to the worried well," says Marion Nestle, the Paulette Goddard Professor of nutrition, food studies and public health, emerita, at New York University. These are "wealthier more educated people who tend to be generally healthy but worry about it."
Plus Dr.</t>
  </si>
  <si>
    <t>Infobae</t>
  </si>
  <si>
    <t>Marion Nestle, experta en nutrición de la Universidad de Nueva York, cree que esta regulación puede incentivar a los fabricantes a reducir el contenido de sodio, azúcares y grasas saturadas en sus productos.</t>
  </si>
  <si>
    <t>Según Marion Nestlé, destacada nutricionista, estudios bien diseñados como este son cruciales para respaldar cambios en las políticas de salud pública. “Cada investigación añade una pieza importante al rompecabezas de comprensión”, concluyó Hall.</t>
  </si>
  <si>
    <t>¿El antojo perdió su poder de ventas en la era del Ozempic?</t>
  </si>
  <si>
    <t>"Es una amenaza existencial a la industria alimentaria y, desde luego, una amenaza existencial a la industria de los alimentos procesados", explicó Marion Nestle, profesora emérita de Nutrición, Estudios Alimentarios y Salud pública de la Universidad de Nueva York, que ha escrito mucho sobre política</t>
  </si>
  <si>
    <t>Marion Nestle, catedrática emérita de Nutrición, Alimentación y Salud Pública de la Universidad de Nueva York, dijo que se trataba del "estudio más importante sobre nutrición en años".</t>
  </si>
  <si>
    <t>Forbes</t>
  </si>
  <si>
    <t>Who Is Daniel Lubetzky? Snack Food Billionaire Will Replace Mark Cuban On ‘Shark Tank.’</t>
  </si>
  <si>
    <t>Marion Nestle, a professor of nutrition, food studies and public health at New York University, described Lubetzky to Forbes as "a brilliant marketer."</t>
  </si>
  <si>
    <t>Crumbl: On A Roll And Growing At A Rapid Pace</t>
  </si>
  <si>
    <t>Marion Nestle, a retired professor of Nutrition, Food Studies and Public Health at New York University and author of Food Politics, is not surprised by the recurring sweet tooth of many Americans.</t>
  </si>
  <si>
    <t>How To Make America Healthy Again</t>
  </si>
  <si>
    <t>In her popular Food Politics newsletter, NYU Professor Marion Nestle noted, “They (MAHA) are calling for fixing the food system, doing something to coordinate and address diet-related chronic diseases, stopping corporate power, eliminating conflicts of interest between industry and government, getting</t>
  </si>
  <si>
    <t>Air-Fried Chicken Tender Sandwich Introduced At True Food Kitchen</t>
  </si>
  <si>
    <t>Fewer Calories When Air-Fried
Asked her view of air-frying, Marion Nestle, an emeritus professor of Nutrition, Food Studies, and Public Health at New York University and author of Food Politics, says it “doesn’t use much fat for frying and has way fewer calories.</t>
  </si>
  <si>
    <t>Who Is Daniel Lubetzky? Shark Tank’s New Snack Food Billionaire Investor Debuts Friday</t>
  </si>
  <si>
    <t>CNN</t>
  </si>
  <si>
    <t>RFK Jr.’s to-do list to make America ‘healthy’ - vaccines, fluoride and food - has health experts worried</t>
  </si>
  <si>
    <t>Nutritionist on why removal of food dyes poses 'problem' for cereal brands
 CNN's Pamela Brown speaks with nutritionist Marion Nestle about the risk of food additives and the challenges cereal companies face when considering removing food dyes.
 04:04
 - Source:
 CNN</t>
  </si>
  <si>
    <t>Despite Ozempic and RFK Jr., Uncrustables and Twinkies believes ‘very strongly that snacking continues’ /// Twinkies and Uncrustables aren’t worried RFK Jr.’s health push will slow down growth | CNN Business</t>
  </si>
  <si>
    <t>“The food industry ought to be quaking in its boots, but they don’t think it’s going to happen,” Marion Nestle, a leading authority on nutrition and food policy at New York University, said in an interview last week with CNN.
 A box of J.M. Smucker Co.</t>
  </si>
  <si>
    <t>Inside the push for dietary guidance on ultraprocessed foods — and why it’s failing right now | CNN</t>
  </si>
  <si>
    <t>A lowly vegetable rises to stardom in newly released dietary advisory report | CNN</t>
  </si>
  <si>
    <t>BBC News</t>
  </si>
  <si>
    <t>Al hacer las compras, que no te ciegue el 'halo de salud'</t>
  </si>
  <si>
    <t>The New York Times en Español</t>
  </si>
  <si>
    <t>"Si el marketing está bien hecho, pasa por debajo del radar del pensamiento crítico", dijo Marion Nestle, profesora emérita de nutrición y estudios alimentarios de la Universidad de Nueva York.</t>
  </si>
  <si>
    <t>At the Grocery Store, Blinded by the Light of the 'Health Halo'</t>
  </si>
  <si>
    <t>The New York Times</t>
  </si>
  <si>
    <t>"If the marketing is well done, it slips below the radar of critical thinking," said Marion Nestle, an emeritus professor of nutrition and food studies at New York University.</t>
  </si>
  <si>
    <t>The Next Dietary Guidelines May Punt on Ultraprocessed Foods</t>
  </si>
  <si>
    <t>A.I., Ukraine, China, and the Middle East</t>
  </si>
  <si>
    <t>"If you eat a high fiber diet, you're taking care of your prebiotics pretty well," said Marion Nestle, an emeritus professor of nutrition, food studies and public health at New York University.
Inulin, the main prebiotic fiber used in these sodas, , such as agave or chicory root, said Dr.</t>
  </si>
  <si>
    <t>Are Artificial Sweeteners Safe?</t>
  </si>
  <si>
    <t>"Once you get used to larger portions, anything that looks like a normal-sized portion seems like you are getting cheated," said Marion Nestle, an emeritus professor of nutrition, food studies and public health at New York University who has researched the link between portion size and obesity.</t>
  </si>
  <si>
    <t>Why, Exactly, Are Ultraprocessed Foods So Hard to Resist? This Study Is Trying to Find Out.</t>
  </si>
  <si>
    <t>It was "the most important study done in nutrition in years," said Marion Nestle, an emeritus professor of nutrition, food studies and public health at New York University.</t>
  </si>
  <si>
    <t>Yahoo Life</t>
  </si>
  <si>
    <t>“We need to know a lot more about how bird flu is transmitted to humans—so far, not easily,” molecular biologist and public health advocate Marion Nestle tells EatingWell. “But preventive measures are always the same: wash your hands, well and often!”</t>
  </si>
  <si>
    <t>Yahoo</t>
  </si>
  <si>
    <t>“Infections caused by raw milk are rare,” says Marion Nestle, professor emerita of nutrition, food studies, and public health at New York University, “but when they occur they can be deadly, especially to children. This is a risk I would rather not take.”</t>
  </si>
  <si>
    <t>wondered Marion Nestle, a professor at New York University and longtime critic of the nation’s food system who nonetheless hopes Kennedy can make some headway.
Colorado Gov. Jared Polis is a rare exception in his enthusiasm for Kennedy.</t>
  </si>
  <si>
    <t>A Beef Industry Leader Called the USDA's 2025 Proposed Dietary Guidelines 'Elitist' - Here's Why</t>
  </si>
  <si>
    <t>RFK Jr. claims Canadian Froot Loops have 3 ingredients. They have 17.</t>
  </si>
  <si>
    <t>Advertisement
“That seems to be enough to discourage their use,” said Marion Nestle, former chair of New York University’s nutrition and food studies program.</t>
  </si>
  <si>
    <t>Yahoo Entertainment</t>
  </si>
  <si>
    <t>Leading nutrition experts including Valter Longo, Eric Ravussin, Marion Nestle, John Kopchick, Satchin Panda, Hanno Pijl, and Bernard Escudier will feature in the doc.</t>
  </si>
  <si>
    <t>Sugar Substitutes Are Everywhere-Even in These Surprising Foods</t>
  </si>
  <si>
    <t>Continuar leyendo la historia
“Es una amenaza existencial a la industria alimentaria y, desde luego, una amenaza existencial a la industria de los alimentos procesados”, explicó Marion Nestle, profesora emérita de Nutrición, Estudios Alimentarios y Salud pública de la Universidad de Nueva York, que</t>
  </si>
  <si>
    <t>busrep.co.za</t>
  </si>
  <si>
    <t>The Illusion of Choice</t>
  </si>
  <si>
    <t>news.thin-ink.net</t>
  </si>
  <si>
    <t>This is just one example and Marion Nestle has plenty more of industry-funded research and their often-questionable conclusions. 
All of this is possible because these industries are heavily consolidated - they’re either monopolies, oligopolies, or oligopsonies.</t>
  </si>
  <si>
    <t>Povećava li roštiljanje mesa rizik od raka? Evo što kažu stručnjaci</t>
  </si>
  <si>
    <t>n1info.hr</t>
  </si>
  <si>
    <t>Marion Nestle.
“Rizik od jednog izlaganja iznimno je mali”, rekla je za Health.
Kako sigurnije roštiljati?
Iako bi pečenje na roštilju moglo povećati vašu izloženost štetnim kemikalijama, postoje stvari koje možete učiniti kako biste ga učinili sigurnijim za konzumiranje.</t>
  </si>
  <si>
    <t>What happened to Red Lobster? Hint: Private Equity</t>
  </si>
  <si>
    <t>Where the food comes from</t>
  </si>
  <si>
    <t>Marion Nestle is a renowned nutrition professor at NYU and Cornell. She follows-up on food industry funded research to present a clearer picture of the results and their trustability. Do the claims the industry makes actually hold up under review?</t>
  </si>
  <si>
    <t>Misleading Food Labels</t>
  </si>
  <si>
    <t>bespacific.com</t>
  </si>
  <si>
    <t>“If the marketing is done well, it slips through the radar of critical thinking,” says Marion Nestle, PhD, professor of nutrition and food studies at New York University.</t>
  </si>
  <si>
    <t>Jogurt može smanjiti rizik za dijabetes tip 2, potvrdila Američka agencija za hranu</t>
  </si>
  <si>
    <t>scena.ba</t>
  </si>
  <si>
    <t>Σχέση υπερεπεξεργασμένων τροφίμων με πρώιμο κίνδυνο θανάτου</t>
  </si>
  <si>
    <t>ygeiawatch.com.cy</t>
  </si>
  <si>
    <t>Τα ευρήματα αυτής της μελέτης ήταν συνεπή με εκατοντάδες άλλες στο πεδίο, αλλά αυτό που την κάνει μοναδική είναι η ανάλυση διαφορετικών υποομάδων εντός της κατηγορίας των υπερεπεξεργασμένων τροφίμων, δήλωσε η Δρ Marion Nestle, επίτιμη καθηγήτρια Paulette Goddard για θέματα διατροφής, σπουδών τροφίμων</t>
  </si>
  <si>
    <t>Pet bolesti koje može izazvati ultraprerađena hrana</t>
  </si>
  <si>
    <t>blink.ba</t>
  </si>
  <si>
    <t>-Moja definicija za ultraprerađenu hranu je da ne možete da je napravite u svojoj kuhinji jer nemate mašine i nemate sastojke – rekla je stručnjakinja za politiku ishrane dr Marion Nestle za Si-En-En, preosi Mondo.</t>
  </si>
  <si>
    <t>grupoportaldenoticias.com.br</t>
  </si>
  <si>
    <t>Ce alimente nu ar trebui consumate frecvent și ce efecte pot avea asupra organismului. Concluziile unu studiu de 30 de ani</t>
  </si>
  <si>
    <t>alba24.ro</t>
  </si>
  <si>
    <t>Marion Nestle, Universitatea New York.
Song a precizat că nu ar recomanda neapărat o renunțare totală la alimentele ultraprocesată, pentru că este o categorie diversă.
“Cerealele, produsele de panificație din făină integrală, de exemplu, sunt considerate alimente ultraprocesate.</t>
  </si>
  <si>
    <t>Breakfast Is The Most Important Meal Of The Day — Or Is It? - Mingooland</t>
  </si>
  <si>
    <t>mingooland.com</t>
  </si>
  <si>
    <t>rewind943.com</t>
  </si>
  <si>
    <t>redhot.sg</t>
  </si>
  <si>
    <t>Študija: Ni vsa ultraprocesirana hrana enako škodljiva</t>
  </si>
  <si>
    <t>senior24.si</t>
  </si>
  <si>
    <t>Marion Nestle, zaslužna profesorica na Univerzi v New Yorku, izpostavlja, da je študija edinstvena zaradi svojega pristopa k razčlenjevanju različnih vrst ultraprocesirane hrane. “To nam omogoča boljše razumevanje, katere vrste hrane so še posebej problematične,” pravi.</t>
  </si>
  <si>
    <t>Processed foods are hiding in plain sight - and that can be a huge public health problem</t>
  </si>
  <si>
    <t>newsfounded.com</t>
  </si>
  <si>
    <t>“I think there is enough evidence to recommend a reduction in calories from ultra-processed foods,” said Marion Nestle, an emeritus professor of nutrition, food studies and public health at NYU. in the Washington Post. “I’m not going to say don’t eat them — that makes no sense.</t>
  </si>
  <si>
    <t>Engañó a una viuda, la convenció de que tenía demencia y la estafó en miles de dólares para comprarse una camioneta</t>
  </si>
  <si>
    <t>corrientesinfo.ar</t>
  </si>
  <si>
    <t>A lowly vegetable rises to stardom in new dietary advisory report</t>
  </si>
  <si>
    <t>bundle.app</t>
  </si>
  <si>
    <t>Yogurt can make limited claim that the food reduces risk of type 2 diabetes, FDA says</t>
  </si>
  <si>
    <t>thesentimes.com</t>
  </si>
  <si>
    <t>Yogurts may make limited claims that food reduces risk of Type 2 diabetes, FDA says</t>
  </si>
  <si>
    <t>Marion Nestle, a food policy expert, said qualifying health claims based on limited evidence were “ridiculous on their face”.
“Translation: If you want to believe it, go ahead, but it’s not based on evidence,” she said.</t>
  </si>
  <si>
    <t>politeianews.gr</t>
  </si>
  <si>
    <t>Aqui estão os alimentos ultraprocessados ​​que você deve evitar, de acordo com 30 anos de pesquisa</t>
  </si>
  <si>
    <t>atibaiaconnection.com.br</t>
  </si>
  <si>
    <t>Marion Nestle, Professora Goddard de Nutrição, Estudos Alimentares e Política. em Saúde Pública pela Universidade de Nova York.
 Song não significa necessariamente rejeitar completamente todos os alimentos ultraprocessados ​​porque é uma categoria diferente, disse ele.</t>
  </si>
  <si>
    <t>Sweetener Dilemma: A Bitter Debate On Health, Environment, And Taste</t>
  </si>
  <si>
    <t>About Marion Nestle Marion Nestle is Paulette Goddard Professor of Nutrition, Food Studies, and Public Health, Emerita, at New York University, which she chaired from 1988-2003 and from which she officially retired in September 2017.</t>
  </si>
  <si>
    <t>newsbeyonddetroit.net</t>
  </si>
  <si>
    <t>europesays.com</t>
  </si>
  <si>
    <t>iolnews.co.za</t>
  </si>
  <si>
    <t>radiosecret.gr</t>
  </si>
  <si>
    <t>wishpittsburgh.com</t>
  </si>
  <si>
    <t>yoursourceone.com</t>
  </si>
  <si>
    <t>Thực phẩm siêu chế biến có liên quan đến tử vong sớm: Những thực phẩm cần tránh</t>
  </si>
  <si>
    <t>ntdvn.net</t>
  </si>
  <si>
    <t>Theo CNN, Tiến sĩ Marion Nestle, Giáo sư danh dự về Dinh dưỡng, Nghiên cứu Thực phẩm và Ăn kiêng của Paulette Goddard, cho biết kết quả của nghiên cứu này phù hợp với hàng trăm nghiên cứu khác trong lĩnh vực này.</t>
  </si>
  <si>
    <t>Consumer Reports Urges Removal of Lunchables from School Lunch Program over Health Concerns</t>
  </si>
  <si>
    <t>timesng.com</t>
  </si>
  <si>
    <t>Marion Nestle, a nutrition expert from New York University, criticized Lunchables as ultra-processed junk food unsuitable for school lunches.
The controversy surrounding Lunchables extends to their recent inclusion in the National School Lunch Program, despite objections from nutrition experts.</t>
  </si>
  <si>
    <t>Assim como o açúcar, adoçantes também podem trazer riscos à saúde, advertem especialistas</t>
  </si>
  <si>
    <t>ajn1.com.br</t>
  </si>
  <si>
    <t>Fact Check: Vitamin E, Grape Juice Extract And Astaxanthin Combo Improves Brain Function</t>
  </si>
  <si>
    <t>RFK Jr. Promises Healthier American Diet in Potential Presidential Campaign</t>
  </si>
  <si>
    <t>scriptori.com</t>
  </si>
  <si>
    <t>Marion Nestle, a nutrition professor, finds it “thrilling” that someone is addressing chronic disease, while Dr. Peter Lurie from the Center for Science in the Public Interest agrees that removing certain food dyes could be beneficial.</t>
  </si>
  <si>
    <t>Teste revela os efeitos dos alimentos ultraprocessados: "É assustador"</t>
  </si>
  <si>
    <t>osegredo.com.br</t>
  </si>
  <si>
    <t>Alimentos ultraprocessados ​​são alguns dos mais lucrativos que as empresas podem obter disse a professora Marion Nestle, especialista em política alimentar e professora de nutrição na Universidade de Nova York.
À medida que o consumo cresce, as taxas de diabetes e câncer também aumentam.</t>
  </si>
  <si>
    <t>balkantv.rs</t>
  </si>
  <si>
    <t>Храната што често ја користиме може да има корисен ефект врз ризикот од дијабетес тип 2</t>
  </si>
  <si>
    <t>kukuriku.com.mk</t>
  </si>
  <si>
    <t>Marion Nestle, професорка по исхрана, здрава храна и јавно здравје на Универзитетот во Њујорк, ја критикува одлуката и прашува: Зошто некој разумен човек би помислил дека сè што треба да направите за да спречите дијабетес тип 2 е да консумирате 2 чаши јогурт неделно?</t>
  </si>
  <si>
    <t>Ölüme davetiye çıkarıyorlar: Çiğ çiğ içiyorlar!</t>
  </si>
  <si>
    <t>inanisgazetesi.com</t>
  </si>
  <si>
    <t>IOL News.</t>
  </si>
  <si>
    <t>wp.me</t>
  </si>
  <si>
    <t>maistopnews.com.br</t>
  </si>
  <si>
    <t>Foi “o estudo mais importante feito em nutrição em anos”, afirma Marion Nestle, professora emérita de nutrição, estudos alimentares e saúde pública na Universidade de Nova York.</t>
  </si>
  <si>
    <t>si son buenas para nuestra salud o no</t>
  </si>
  <si>
    <t>lasverdades.net</t>
  </si>
  <si>
    <t>Extra beans and not more crimson meat: Nutritionists weigh in on US nutritional pointers</t>
  </si>
  <si>
    <t>the-globe.info</t>
  </si>
  <si>
    <t>General, the suggestions for the 2025-2030 Nutritional Tips for American citizens sound acquainted, stated Marion Nestle, a meals coverage professional.</t>
  </si>
  <si>
    <t>USDA’s 2025 Dietary Guidelines: Key Findings, Recommendations, And Public Comment Opportunities</t>
  </si>
  <si>
    <t>Where The Food Comes From</t>
  </si>
  <si>
    <t>Submit written public comments to the Departments
Register to attend the virtual public meeting to hear oral comments on the Scientific Report
Read theCommittee’s Scientific Report 
The post The Dietary Guidelines Advisory Committee releases its report appeared first on Food Politics by Marion Nestle</t>
  </si>
  <si>
    <t>huaral.pe</t>
  </si>
  <si>
    <t>thenews.sg</t>
  </si>
  <si>
    <t>Marion Nestle, a food policy expert, said qualified health claims based on limited evidence are “ridiculous on their face”.
“Translation: If you want to believe this, go ahead, but it’s not on the basis of evidence,” she said.</t>
  </si>
  <si>
    <t>Edd ezt a pár zöldséget és gyümölcsöt és nem lesz gondod a szív- és érrendszeri betegségekkel</t>
  </si>
  <si>
    <t>kiskegyed.hu</t>
  </si>
  <si>
    <t>Marion Nestle, a New York-i Egyetem táplálkozástudomány professzora, aki nem vett részt a kutatásban. „Ezt már régóta tudjuk, de jó látni, hogy a vesebetegségek csökkentése is a jótékony hatások között szerepel” – tette hozzá.</t>
  </si>
  <si>
    <t>Estudo investiga impacto dos ultraprocessados na saúde e desafios regulatórios nos EUA</t>
  </si>
  <si>
    <t>portaltela.com</t>
  </si>
  <si>
    <t>"Ultraprocessados são o conceito mais importante na nutrição desde as vitaminas," afirma Marion Nestle, especialista em nutrição. A pesquisa em andamento visa fornecer dados que possam informar políticas públicas e regulamentações sobre alimentos, com o intuito de melhorar a saúde da população.</t>
  </si>
  <si>
    <t>wjab.org</t>
  </si>
  <si>
    <t>Lebih Banyak Kacang dan Kurangi Daging Merah: Ahli Gizi Berikan Masukan untuk Pedoman Diet AS</t>
  </si>
  <si>
    <t>fusilatnews.com</t>
  </si>
  <si>
    <t>Secara keseluruhan, rekomendasi untuk Pedoman Diet Amerika 2025-2030 terdengar akrab, menurut Marion Nestle, seorang ahli kebijakan pangan.</t>
  </si>
  <si>
    <t>Yogurts can now make limited claims that the food lowers diabetes risk, the FDA says</t>
  </si>
  <si>
    <t>Marion Nestle, a nutritionist and molecular biologist, echoed Passerrello’s sentiments, adding that “qualified health claims are ridiculous on their face.”
 “Why would any sane person think that all you need to do to prevent type 2 diabetes is eat 2 cups of yogurt a week?”</t>
  </si>
  <si>
    <t>Toto je 10 najväčších mýtov o jedle a stravovaní podľa renomovaných odborníkov</t>
  </si>
  <si>
    <t>tvnoviny.sk</t>
  </si>
  <si>
    <t>Súčasné výživové odporúčania USA odporúčajú to isté,“ hovorí profesorka Marion Nestle.
Odborníčka pokračuje, že veda a nové poznatky sa vyvíjajú, ale základné odporúčania ostávajú tie isté.</t>
  </si>
  <si>
    <t>az24saat.org</t>
  </si>
  <si>
    <t>'É assustador ver o resultado': o experimento sobre os efeitos dos alimentos ultraprocessados - Três Passos News</t>
  </si>
  <si>
    <t>trespassosnews.com.br</t>
  </si>
  <si>
    <t>“Alimentos ultraprocessados %u200B%u200Bsão alguns dos mais lucrativos que as empresas podem obter”, diz o professor Marion Nestle, especialista em política alimentar e professor de nutrição na Universidade de Nova York.</t>
  </si>
  <si>
    <t>sabrosia.pr</t>
  </si>
  <si>
    <t>Kroger-Albertson's Merger Will Mean Higher Prices, Fewer Stores</t>
  </si>
  <si>
    <t xml:space="preserve">  Why Ultra-Processed Food Leads To Cancer, Mortality, And Poor Mental Health</t>
  </si>
  <si>
    <t>livestly.com</t>
  </si>
  <si>
    <t>Marion Nestle, the Paulette Goddard professor, emerita of nutrition, said, “Literally hundreds of studies link ultra-processed foods to obesity, cancer, cardiovascular disease, and overall mortality.”</t>
  </si>
  <si>
    <t>Bovine colostrum, raw milk and cortisol face: the biggest wellness trends of 2024 | Well actually</t>
  </si>
  <si>
    <t>Business and America</t>
  </si>
  <si>
    <t>Grippe aviaire : peut-on consommer œufs, poulet et produits laitiers sans risque ?</t>
  </si>
  <si>
    <t>viralmag.fr</t>
  </si>
  <si>
    <t>»
Marion Nestle, biologiste moléculaire et spécialiste en santé publique
En cette période troublée, pas question de céder à la psychose. En appliquant ces conseils, vous pouvez continuer à vous régaler d’une bonne omelette ou d’un poulet rôti sans crainte.</t>
  </si>
  <si>
    <t>NAKON PET GODINA ISTRAŽIVANJA: Namirnica koju često koristimo mogla bi povoljno djelovati na rizik za dijabetesa, ali...</t>
  </si>
  <si>
    <t>press.ba</t>
  </si>
  <si>
    <t>Potvrđeno je: Jogurt može smanjiti rizik od dijabetesa tipa 2</t>
  </si>
  <si>
    <t>una.ba</t>
  </si>
  <si>
    <t>Welcome To The Upside Down</t>
  </si>
  <si>
    <t>Marion Nestle has an ongoing column about studies funded by the meat industry - this one seems particularly blatant - and WIRED wrote about how Big Beef is already wooing science teachers at U.S. schools to reach the younger generation.  </t>
  </si>
  <si>
    <t>phbiznews.com</t>
  </si>
  <si>
    <t>Ovu ultraprerađenu hranu morate izbjegavati</t>
  </si>
  <si>
    <t>n1info.ba</t>
  </si>
  <si>
    <t>Marion Nestle, profesorica emerita Paulette Goddard za prehranu, proučavanje hrane i javno zdravstvo na Univerzitetu New York.</t>
  </si>
  <si>
    <t>Ultra zpracované potraviny jsou podle 30letého výzkumu spojeny s předčasnou smrtí</t>
  </si>
  <si>
    <t>yplay.cz</t>
  </si>
  <si>
    <t>Marion Nestle, Paulette Goddard, emeritní profesorka nutričních a potravinářských studií, uvedla, že zjištění této studie jsou v souladu se stovkami dalších studií v této oblasti, ale co dělá tuto studii jedinečnou, je její analýza různých podskupin v rámci kategorie ultra- zpracovaných potravin.</t>
  </si>
  <si>
    <t>Ecco gli alimenti ultra-processati che dovresti evitare, secondo uno studio durato 30 anni</t>
  </si>
  <si>
    <t>concaternanaoggi.it</t>
  </si>
  <si>
    <t>La Dott.ssa Marion Nestlé, professoressa emerita di studi sulla nutrizione e sugli alimenti di Paulette Goddard, ha affermato che i risultati di questo studio sono coerenti con centinaia di altri studi in questo campo, ma ciò che rende questo studio unico è la sua analisi di diversi sottogruppi all’interno</t>
  </si>
  <si>
    <t>boldnews.al</t>
  </si>
  <si>
    <t>Food for Thought</t>
  </si>
  <si>
    <t>promarket.org</t>
  </si>
  <si>
    <t>An excerpt from the second edition of Marion Nestle’s book, Food Politics: How the Food Industry Influences Nutrition and Health, out now.
Do campaign contributions, trips, and presents buy corporate influence over government decisions?</t>
  </si>
  <si>
    <t>Apakah Pemanis Buatan Lebih Aman daripada Gula? Ini Hasil Penelitiannya</t>
  </si>
  <si>
    <t>inilahjatim.com</t>
  </si>
  <si>
    <t>Namun, untuk menyelesaikan masalah sebab akibat ini secara tuntas, para ilmuwan perlu merancang penelitian yang secara langsung mengukur bagaimana pengganti gula memengaruhi kesehatan manusia dalam jangka panjang, kata Marion Nestle, seorang profesor emeritus bidang nutrisi, studi pangan, dan kesehatan</t>
  </si>
  <si>
    <t>floricuanews.com</t>
  </si>
  <si>
    <t>bluelena.io</t>
  </si>
  <si>
    <t>Why removal of food dyes poses ‘problem’ for cereal brands</t>
  </si>
  <si>
    <t>leadstory.com</t>
  </si>
  <si>
    <t>CNN’s Pamela Brown speaks with nutritionist Marion Nestle about the risk of food additives and the challenges cereal companies face when considering removing food dyes.</t>
  </si>
  <si>
    <t>Kampf gegen die Bliss-Point-Formel von Chuck Norris</t>
  </si>
  <si>
    <t>Day FR</t>
  </si>
  <si>
    <t>Marion Nestle ist Molekularbiologin und Ernährungswissenschaftlerin und emeritierte Paulette Goddard-Professorin für Ernährung, Lebensmittelstudien und öffentliche Gesundheit an der New York University.</t>
  </si>
  <si>
    <t>Is It Safe to Eat Eggs or Dairy?</t>
  </si>
  <si>
    <t>obnews.co</t>
  </si>
  <si>
    <t>global.bihardainik.com</t>
  </si>
  <si>
    <t>iolnewsletters.co.za</t>
  </si>
  <si>
    <t>"These technologies are not about feeding the world"</t>
  </si>
  <si>
    <t>Q: You know, I was just reading Marion Nestle's blog on how the cuts to SNAP funding (the government’s anti-hunger programme for low-income families) had an impact on the Kraft Mac &amp; Cheese which is an ultra-processed food (UPF).
A: I love Professor Nestle.</t>
  </si>
  <si>
    <t>cochraneeagle.ca</t>
  </si>
  <si>
    <t>Reality Check: Harmful Microplastics And Chemicals Are In Our Food And Water Supply</t>
  </si>
  <si>
    <t>Marion Nestle, a food policy expert, said qualifying health claims based on limited evidence are “ridiculous on their face.”
___
The Associated Press Health and Science Department receives support from the Howard Hughes Medical Institute’s Science and Educational Media Group.</t>
  </si>
  <si>
    <t>Oto produkty ultraprzetworzone, których należy unikać, według 30-letnich badań</t>
  </si>
  <si>
    <t>furora.tv</t>
  </si>
  <si>
    <t>Wyniki badania są spójne z wynikami setek innych badań w tej dziedzinie, ale to, co czyni je wyjątkowymi, to odróżnienie od różnych podgrup w ramach kategorii żywności ultraprzetworzonej, stwierdziła dr Marion Nestle, profesor Goddard ds. żywienia, studiów nad żywnością i polityki. w dziedzinie zdrowia</t>
  </si>
  <si>
    <t>Baby Formula Tragedy Blame Lies With FDA, Inspector General Says</t>
  </si>
  <si>
    <t>RFK Jr.'s biggest hurdle to unhealthy eating is money</t>
  </si>
  <si>
    <t>The Park News</t>
  </si>
  <si>
    <t>difficult but not impossible
Marion Nestle, a professor emeritus of nutrition, food research and public health at New York University, said Kennedy is not the only public figure to tackle unhealthy foods, and that even with limited funding, there is no way to challenge the food industry.</t>
  </si>
  <si>
    <t>Ruokasuositus jakaa ihmiset hyviin ja huonoihin kansalaisiin – lopputuloksena on auktoriteettiuskon rapautuminen | Viisi Tähteä</t>
  </si>
  <si>
    <t>viisitahtea.com</t>
  </si>
  <si>
    <t>/ sekä ruoka- ja viinikulttuurin professori Charlotte Biltekoff:
Eating Right in America: The Cultural Politics of Food and Health,Real Food, Real Facts – Processed Food and the Politics of Knowledge
New Yorkin yliopiston ravitsemuksen, elintarviketutkimuksen ja kansanterveyslaitoksen professori Marion … Nestle:
Food Politics: How the Food Industry Influences Nutrition and Health
Tags
Eeropekka RislakkiravintopyramidiravintosuositusRuokasuositusValtion ravitsemusneuvottelukunta</t>
  </si>
  <si>
    <t>What qualifies as 'healthy' food? FDA updates label criteria</t>
  </si>
  <si>
    <t>thebritishclub.co.uk</t>
  </si>
  <si>
    <t>Marion Nestle, a nutrition expert and emeritus professor at New York University, described the new rules as “better than I thought it would be.”</t>
  </si>
  <si>
    <t>You may be eating ‘predigested’ food. Here’s what it means</t>
  </si>
  <si>
    <t>– Marion Nestle, professor of nutrition, food studies and public health
Estimates say that 73% of the food supply in the United States consists of ultraprocessed foods.</t>
  </si>
  <si>
    <t>Dietitians reveal the 100 unhealthiest foods in your supermarket, including margarine, pickles and BROTH CUBES</t>
  </si>
  <si>
    <t>news.india24.press</t>
  </si>
  <si>
    <t>Food policy expert Marion Nestlé previously told the Daily Mail that the idea that high-sugar yogurt brands are healthy is “ridiculous” and not based on any evidence.</t>
  </si>
  <si>
    <t>Fact Check: Almonds Reduce Inflammation Post-Exercise</t>
  </si>
  <si>
    <t>Estudo revela que adoçante pode aumentar risco de AVC e infarto; confira</t>
  </si>
  <si>
    <t>br104.com.br</t>
  </si>
  <si>
    <t>Marion Nestle, professora emérita de nutrição na Universidade de Nova York, afirmou que o estudo adiciona às crescentes evidências sobre os potenciais problemas fisiológicos causados por adoçantes artificiais.</t>
  </si>
  <si>
    <t>cfemea.org.br</t>
  </si>
  <si>
    <t>Οι 10 διατροφικοί μύθοι που οι ειδικοί θα ήθελαν να εξαφανιστούν</t>
  </si>
  <si>
    <t>dnews.gr</t>
  </si>
  <si>
    <t>Marion Nestle, καθηγήτρια του New York University.</t>
  </si>
  <si>
    <t>Boar’s Head Listeria Outbreak: Uncovering The Crisis, Its Fallout, And The Urgent Need For Food Safety Reform</t>
  </si>
  <si>
    <t>The post The Boar’s Head Listeria recall appeared first on Food Politics by Marion Nestle.</t>
  </si>
  <si>
    <t>z975.com</t>
  </si>
  <si>
    <t>Get Ready for the New York Produce Show 2024</t>
  </si>
  <si>
    <t>Produce Leaders</t>
  </si>
  <si>
    <t>This year’s Connect With Fresh Consumer Media initiative will feature celebrated nutritionist and author Marion Nestle as the keynote speaker on Wednesday afternoon.</t>
  </si>
  <si>
    <t>izvor.ba</t>
  </si>
  <si>
    <t>inilahsumbar.com</t>
  </si>
  <si>
    <t>Dietary guidelines become mired in war over alcohol safety - The Mercury News</t>
  </si>
  <si>
    <t>neefina.com</t>
  </si>
  <si>
    <t>2024 Bloomberg American Health Summit in Washington, D.C., to Spotlight Concrete Ways to Advance Public Health Amid Political Division</t>
  </si>
  <si>
    <t>bloomberg.org</t>
  </si>
  <si>
    <t>How to Prepare for Thanksgiving Without Going Crazy ... With Less Stress</t>
  </si>
  <si>
    <t>articles.healthrealizations.com</t>
  </si>
  <si>
    <t>Another expert encourages enjoying all of the food, in small amounts:
“My approach is to pick and choose,” said Marion Nestle, PhD, MPH, who wrote the 2006 book What to Eat. “I taste everything, keep the servings really small, and save room for seconds of the foods I really like.</t>
  </si>
  <si>
    <t>glas.hr</t>
  </si>
  <si>
    <t>Πέντε συμβουλές για να επιταχύνετε την απώλεια βάρους μετά τα</t>
  </si>
  <si>
    <t>politic.gr</t>
  </si>
  <si>
    <t>capetimes.co.za</t>
  </si>
  <si>
    <t>Food and its Use: Flax seeds</t>
  </si>
  <si>
    <t>foodmedcenter.org</t>
  </si>
  <si>
    <t>flax seeds, which range from .30
*Note: Before reviewing the literature, it is important to note that many peer-reviewed studies may be biased due to industry-funded research to promote product sales, and a conflict of interest is not always disclosed (see information from biologist and nutritionist Marion … Nestle on sponsored research here).</t>
  </si>
  <si>
    <t>USDA Greenlights Drought-Resistant, Herbicide-Tolerant Wheat For U.S. Cultivation, But Challenges Remain</t>
  </si>
  <si>
    <t>The post USDA OKs GMO Wheat appeared first on Food Politics by Marion Nestle.</t>
  </si>
  <si>
    <t>iollifestyle.co.za</t>
  </si>
  <si>
    <t>iatropedia.gr</t>
  </si>
  <si>
    <t>How bad are ultra-processed foods? Here are 5 things to know - .</t>
  </si>
  <si>
    <t>Marion Nestle , food policy expert, to CNN medical correspondent Meg. Tirrell on the Chasing Life podcast recently. Nestlé is the Paulette Goddard Distinguished Professor of Nutrition, Food Studies and Public health at New York University.</t>
  </si>
  <si>
    <t>Tu sú ultraspracované potraviny, ktorým by ste sa mali podľa 30-ročnej štúdie najviac vyhýbať</t>
  </si>
  <si>
    <t>cikycaky.sk</t>
  </si>
  <si>
    <t>Marion Nestle, emeritná profesorka výživy, potravinových štúdií a Paulette Goddard. . Verejné zdravie na New York University.
 To znamená, že Song by neodporúčal úplne odmietnuť všetky ultraspracované potraviny, pretože je to taká rôznorodá kategória.</t>
  </si>
  <si>
    <t>BBC đź”µ Can RFK Jr make America’s diet healthy again?</t>
  </si>
  <si>
    <t>Shango.Media</t>
  </si>
  <si>
    <t>â€śWhat he’s suggesting is taking on the food industry,â€ť said former New York University nutrition professor Marion Nestle. â€śWill Trump back him up on that?</t>
  </si>
  <si>
    <t>vifreepress.com</t>
  </si>
  <si>
    <t>Esta es la verdura que reemplazará a la carne como proteína, según la guía dietética de Estados Unidos</t>
  </si>
  <si>
    <t>ffmo.ba</t>
  </si>
  <si>
    <t>racismoambiental.net.br</t>
  </si>
  <si>
    <t>Marion Nestle: Food Politics: How the Food Industry Influences Nutrition and Health, University of California Press, Berkeley, 2003.
14. Margaret Chan: «Alocución de la Dra.</t>
  </si>
  <si>
    <t>notizieinunclick.com</t>
  </si>
  <si>
    <t>RFK Jr.’s To-Do List To Make America ‘Healthy’ Has Health Experts Worried</t>
  </si>
  <si>
    <t>The Portland Medium</t>
  </si>
  <si>
    <t>principia-scientific.com</t>
  </si>
  <si>
    <t>rewindasheville.com</t>
  </si>
  <si>
    <t>News Health</t>
  </si>
  <si>
    <t>thestar.co.za</t>
  </si>
  <si>
    <t>033.ba</t>
  </si>
  <si>
    <t>超加工食品和早逝相关 哪些最应避免食用 - 网络 -  佳礼资讯网</t>
  </si>
  <si>
    <t>cn.cari.com.my</t>
  </si>
  <si>
    <t>据CNN报导，波莱特‧戈达德（Paulette Goddard）营养学、食品研究和营养学荣誉教授马里昂‧内斯特（Marion Nestle）博士表示，这项研究的结果与该领域数百个其它研究结果一致，但这项研究的独特之处在于它对超加工食品类别中的不同亚群进行了解析。 
区别对待超加工食品 
但宋明阳表示，并不建议对所有超加工食品都一律拒绝，要区别对待。 
“例如谷物、全麦面包，它们也被认为是超加工食品，但它们含有各种有益的营养成分，如纤维、维生素和矿物质。”</t>
  </si>
  <si>
    <t>The big packages are designed to make you overeat, says Marion Nestle, an emeritus professor of nutrition, food studies and public health at New York University and the author of “Soda Politics.” “If you can’t resist eating from large packages, don’t buy them,” he added.</t>
  </si>
  <si>
    <t>Want to eat less processed foods? Here's how</t>
  </si>
  <si>
    <t>Iya Magazine</t>
  </si>
  <si>
    <t>Marion Nestle, American molecular biologist and nutritionist, cooking at home allows for control over ingredients, enabling the avoidance of unnecessary additives.</t>
  </si>
  <si>
    <t>mygrande.com</t>
  </si>
  <si>
    <t>blogspot.com</t>
  </si>
  <si>
    <t>inhetnieuws.nl</t>
  </si>
  <si>
    <t>Datum:
maandag 12 augustus 2024 13:57
 Rubriek:
Voeding (meer in Voeding nieuws)
 Tags:
Mindy KalingWItte HuisGazaVS]José Andrés
Volgens de bekende Amerikaanse voedingsdeskundige Marion Nestle houdt Kamala Harris van goed eten en</t>
  </si>
  <si>
    <t>marcioantoniassi.wordpress.com</t>
  </si>
  <si>
    <t>news.shreestar.com</t>
  </si>
  <si>
    <t>La sangrienta historia de Thomas Pitera, el implacable mafioso de la familia Bonanno</t>
  </si>
  <si>
    <t>Snackkonsum in den USA trotzt gesundheitspolitischen Bemühungen</t>
  </si>
  <si>
    <t>it-boltwise.de</t>
  </si>
  <si>
    <t>Marion Nestle, Ernährungswissenschaftlerin an der New York University, erklärte, dass die Lebensmittelindustrie sich Sorgen machen sollte, es aber nicht tut.</t>
  </si>
  <si>
    <t>whitecountycitizen.com</t>
  </si>
  <si>
    <t>newsbv.ro</t>
  </si>
  <si>
    <t>vnwired.com</t>
  </si>
  <si>
    <t>News: Recent UC Press Book Signings</t>
  </si>
  <si>
    <t>ucpress.edu</t>
  </si>
  <si>
    <t>Recipient of the James Beard Lifetime Achievement Award Marion Nestle and former vice president of nutrition for Kellogg's Lisa Sutherland's SUGAR COATED, an exploration of how the food industry, publicly and behind the scenes, sells its products, as illustrated by breakfast cereals, uncovering the hidden</t>
  </si>
  <si>
    <t>Dietary guidelines become mired in war over alcohol safety – Whittier Daily News - Blog Jaun</t>
  </si>
  <si>
    <t>blogjaun.com</t>
  </si>
  <si>
    <t>Can RFK Jr make America’s diet healthy again?</t>
  </si>
  <si>
    <t>Kan Robert F. Kennedy Jr. förändra Amerikas matvanor? En kontroversiell plan för hälsa och reform</t>
  </si>
  <si>
    <t>dagens.se</t>
  </si>
  <si>
    <t>– Det är spännande att höra någon argumentera för att göra något åt kroniska sjukdomar, säger näringsexperten Marion Nestle.</t>
  </si>
  <si>
    <t>Adoçantes artificiais são mais seguros que o açúcar? entenda!</t>
  </si>
  <si>
    <t>infonewss.com</t>
  </si>
  <si>
    <t>TV6onAIR - La ordine scientifica chiede alle Olimpiadi a causa di farla finita come Coca-Cola</t>
  </si>
  <si>
    <t>tv6onair.com</t>
  </si>
  <si>
    <t>Don’t Take the (Click) Bait: Marion Nestle on Finding the Truth Behind Food Industry Headlines</t>
  </si>
  <si>
    <t>greenmoney.com</t>
  </si>
  <si>
    <t>Eat.Drink.Think. podcast – In this Edible Communities episode, Marion Nestle, author of Slow Cooked: An Unexpected Life in Food Politics, returns to help us think critically about food policy and politics.</t>
  </si>
  <si>
    <t>dicomogiornale.com</t>
  </si>
  <si>
    <t>xanthinea.gr</t>
  </si>
  <si>
    <t>Οι μεγάλες συσκευασίες έχουν σχεδιαστεί για να σας κάνουν να τρώτε υπερβολικά, λέει η Marion Nestle, καθηγήτρια στο Πανεπιστήμιο της Νέας Υόρκης και συγγραφέας του «Soda Politics». «Αν δεν μπορείτε να σταματήσετε να τρώτε από μεγάλες συσκευασίες, μην τις αγοράζετε», πρόσθεσε.
ΠΗΓΗ</t>
  </si>
  <si>
    <t>lexo.al</t>
  </si>
  <si>
    <t>Marion Nestle, profesoreshë e njohur e të ushqyerit, studimeve ushqimore dhe shëndetit publik në Universitetin e Nju Jorkut.
A duhet të heqim shmangim të gjitha ushqimet ultra të përpunuara?</t>
  </si>
  <si>
    <t>Edward Norton opowie dokument „Post i rewolucja długowieczności”</t>
  </si>
  <si>
    <t>oen.pl</t>
  </si>
  <si>
    <t>W dokumencie pojawią się czołowi eksperci ds. żywienia, w tym Valter Longo, Eric Ravussin, Marion Nestle, John Kopchick, Satchin Panda, Hanno Pijl i Bernard Escudier.</t>
  </si>
  <si>
    <t>inilahkalsel.com</t>
  </si>
  <si>
    <t>Comitê de nutrição dos EUA ignora recomendações sobre alimentos ultraprocessados em diretrizes</t>
  </si>
  <si>
    <t>Alguns especialistas, como Marion Nestle, criticam a decisão do comitê, argumentando que ele estabeleceu um padrão excessivamente rigoroso para a inclusão de estudos.</t>
  </si>
  <si>
    <t>RFK Jr’s No. 1 Hurdle To Take On Unhealthy Food: Money</t>
  </si>
  <si>
    <t>Odishaexpo</t>
  </si>
  <si>
    <t>z951.com</t>
  </si>
  <si>
    <t>flashstory.net</t>
  </si>
  <si>
    <t>Greenville Herald-Banner</t>
  </si>
  <si>
    <t>noticiero.lat</t>
  </si>
  <si>
    <t>Expert reveals sinister reason Froot Loops won’t remove cancer-linked dyes from their products</t>
  </si>
  <si>
    <t>l8r.it</t>
  </si>
  <si>
    <t>thesstoday.gr</t>
  </si>
  <si>
    <t>zbout.com</t>
  </si>
  <si>
    <t>Marion Nestle, a meals coverage professional, mentioned certified well being claims primarily based on restricted proof are “ridiculous on their face”.
“Translation: If you wish to imagine this, go forward, but it surely’s not on the premise of proof,” she mentioned.</t>
  </si>
  <si>
    <t>Medill News Service</t>
  </si>
  <si>
    <t>Here are the ultraprocessed foods you need to avoid, according to a 30-year study</t>
  </si>
  <si>
    <t>Marion Nestle, the Paulette Goddard professor emerita of nutrition, food studies and public health at New York University.
 The song doesn’t necessarily advise a complete rejection of all ultraprocessed foods because it’s a different category, he said.</t>
  </si>
  <si>
    <t>Fact Check: Prunes Prevent Bone Loss In Postmenopausal Women</t>
  </si>
  <si>
    <t>Πως θα επηρεαστεί η βιομηχανία τροφίμων από την εκλογή Τραμπ</t>
  </si>
  <si>
    <t>cibum.gr</t>
  </si>
  <si>
    <t>Αλλά η Marion Nestle, μία από τις πιο εξέχουσες υπέρμαχους της δημόσιας υγείας στην Αμερική, έχει προτείνει ότι η δεύτερη θητεία του Τραμπ θα πάει πίσω τη διατροφική έρευνα και στις συγκρούσεις συμφερόντων μεταξύ κυβερνήσεων και επιχειρήσεων.</t>
  </si>
  <si>
    <t>New dietary guidelines recommend more plant-based foods, limit processed items and added sugars | Health</t>
  </si>
  <si>
    <t>creativebharat.com</t>
  </si>
  <si>
    <t xml:space="preserve">Message Not Received </t>
  </si>
  <si>
    <t>Weekend reading: report on sugar content of Nestlé’s baby food products - by country - Food Politics by Marion Nestle 
A summary by the OG food policy expert about an investigative report from Public Eye and the International Baby Food Action Network (IBFAN) that has exploded  onto mainstream media</t>
  </si>
  <si>
    <t>Yogurt Kini Dapat Diklaim Dapat Mengurangi Risiko Diabetes</t>
  </si>
  <si>
    <t>majalahtime.com</t>
  </si>
  <si>
    <t>Marion Nestle, pakar kebijakan pangan, mengatakan klaim kesehatan yang memenuhi syarat berdasarkan bukti terbatas adalah “konyol”.
“Terjemahannya: Kalau mau percaya silakan saja, tapi tidak berdasarkan bukti,” ujarnya.</t>
  </si>
  <si>
    <t>stireazilei.co.uk</t>
  </si>
  <si>
    <t>Tot ceea ce putem spera este ca iaurtul să fie cel puțin neîndulcit, dar din moment ce este foarte greu să găsești iaurt neîndulcit, acest lucru le spune oamenilor care vor să evite diabetul de tip 2 că iaurturile îndulcite sunt bune pentru ei „, a declarat Marion Nestle, profesoară emerită Paulette</t>
  </si>
  <si>
    <t>themobiworld.com</t>
  </si>
  <si>
    <t>Više pasulja i manje crvenog mesa: Nutricionisti razmatraju američke smernice za ishranu</t>
  </si>
  <si>
    <t>okvir.net</t>
  </si>
  <si>
    <t>Sve u svemu, preporuke za Smernice o ishrani 2025-2030 za Amerikance zvuče poznato, rekla je Marion Nestle, stručnjak za politiku ishrane.</t>
  </si>
  <si>
    <t>hawaiiantel.net</t>
  </si>
  <si>
    <t>The Vegetarian Resource Group Blog</t>
  </si>
  <si>
    <t>vrg.org</t>
  </si>
  <si>
    <t>To paraphrase Marion Nestle, PhD, MPH, a nutrition expert and professor emerita at New York University, this new Qualified Health Claim should not be taken to mean that all that one needs to do to prevent type 2 diabetes is to eat a couple of cups of dairy yogurt per week.</t>
  </si>
  <si>
    <t>Može li jogurt smanjiti rizik od dijabetesa tipa 2?</t>
  </si>
  <si>
    <t>Marion Nestle, stručnjak za politiku ishrane, rekla je da su kvalifikovane zdravstvene tvrdnje zasnovane na ograničenim dokazima „smešne na njihovom licu“.</t>
  </si>
  <si>
    <t>Junk food na adolescência afeta memória: entenda os riscos</t>
  </si>
  <si>
    <t>diadeajudar.com.br</t>
  </si>
  <si>
    <t>“É muito fácil para os fabricantes de alimentos reformularem o açúcar, o sal e a gordura para atender aos padrões desses nutrientes e ainda assim produzirem junk food”, disse Marion Nestle, professora aposentada de nutrição, estudos alimentares e saúde pública na Universidade de Nova York”.</t>
  </si>
  <si>
    <t>UK Nutrition Experts Have Many Ties To Food Companies: Conflicted Interests, Anyone?</t>
  </si>
  <si>
    <t>Descubra os alimentos que podem proteger contra doenças cardíacas renais.</t>
  </si>
  <si>
    <t>jornaldestaque.com</t>
  </si>
  <si>
    <t>A professora Marion Nestle, especialista em nutrição, ressaltou a relevância dessas descobertas no contexto de uma crescente pesquisa sobre os benefícios das dietas ricas em plantas para a saúde.</t>
  </si>
  <si>
    <t>ORE of Food Studies Available via Subscription and Perpetual Access</t>
  </si>
  <si>
    <t>oxfordre.com</t>
  </si>
  <si>
    <t>Food Politics and Policy by Marion Nestle 
The History and Future of Famine by Alex de Waal
The History of Cookbooks by Henry Notaker
Living Fermented Foods and Drinks by James Read
Low-Wage Labor in Distribution Sectors of the Food Economy by Jennifer Parker
Browse all ORE</t>
  </si>
  <si>
    <t>inoticias.cl</t>
  </si>
  <si>
    <t>Why experts say there’s no such thing as ‘nothing’ as healthy chocolate - and the $20 ‘raw’ and darker varieties are just as bad as Hershey’s</t>
  </si>
  <si>
    <t>But Dr Marion Nestle, a professor emeritus at New York University and nutritionist, told DailyMail.com that there is so little of this nutrient in the bars that a person would have to eat an ‘immoderate’ amount to get enough.</t>
  </si>
  <si>
    <t>newedgetimes.com</t>
  </si>
  <si>
    <t>Los Fabricantes De Yogur Pueden Hacer Afirmaciones Limitadas Sobre La Prevención De La Diabetes Tipo 2</t>
  </si>
  <si>
    <t>rdsradio.hn</t>
  </si>
  <si>
    <t>La experta en políticas alimentarias Marion Nestle dijo a The Associated Press que las afirmaciones de propiedades saludables calificadas son “ridículas a primera vista”. ”Traducción: si quieres creer esto, adelante, pero no es sobre la base de la evidencia”, agregó./Con información de Infobae-</t>
  </si>
  <si>
    <t>idnewszone.com</t>
  </si>
  <si>
    <t>merckmanuals.com</t>
  </si>
  <si>
    <t>shorturl.at</t>
  </si>
  <si>
    <t>De Amerikaanse voedingsprofessor en moleculair bioloog Marion Nestle las een studie die het effect van het MIND-dieet op de cognitieve gezondheid van Chinezen bestudeerd. Maar waarom zou je een Europees dieet willen bestuderen in Chinezen?</t>
  </si>
  <si>
    <t>metroworldnews.com.br</t>
  </si>
  <si>
    <t>Poszukaj tych dziewięciu czerwonych flag, które pomogą Ci zidentyfikować żywność ultraprzetworzoną</t>
  </si>
  <si>
    <t>RY-SA</t>
  </si>
  <si>
    <t>Duże puszki są zaprojektowane tak, abyś mógł się przejadać, twierdzi Marion Nestle, emerytowany profesor żywienia, badań nad żywnością i zdrowia publicznego na Uniwersytecie Nowojorskim oraz autorka książki „The Politics of Soda”.</t>
  </si>
  <si>
    <t>Desigualdade alimentar: luta de classes na comida e nos corpos</t>
  </si>
  <si>
    <t>dmtemdebate.com.br</t>
  </si>
  <si>
    <t>thenews.co.pt</t>
  </si>
  <si>
    <t>na primeira categoria, até aos ultraprocessados, que utilizam fórmulas e técnicas de fabrico industriais, na quarta.
2A minha definição operacional de (alimentos) ultraprocessados é que não os podemos fazer na cozinha de casa porque não temos a maquinaria nem os ingredientes”, disse recentemente a Marion … Nestle, especialista em política alimentar, à correspondente médica da CNN, Meg Tirrell, no podcast Chasing Life.</t>
  </si>
  <si>
    <t>piauinoticias.com</t>
  </si>
  <si>
    <t>portalnine.com.br</t>
  </si>
  <si>
    <t>Unveiling the Corporate Agenda Behind the Global Plant-Based Food</t>
  </si>
  <si>
    <t>greenmedinfo.com</t>
  </si>
  <si>
    <t>Food Politics by Marion Nestle. 2016 [cited 2024 Nov 13]. More on corporate funding of nutrition research: exchange of letters. Available from: https://www.foodpolitics.com/2016/05/more-on-corporate-funding-of-nutrition-research-exchange-of-letters/
15.Fabbri A, Holland TJ, Bero LA.</t>
  </si>
  <si>
    <t>wnax.com</t>
  </si>
  <si>
    <t>A Healthy Diet for People and the Planet: New Study Reveals Benefits</t>
  </si>
  <si>
    <t>indibloghub.com</t>
  </si>
  <si>
    <t>Dit zijn de ultrabewerkte voedingsmiddelen die je moet vermijden, blijkt uit een 30 jaar durend onderzoek</t>
  </si>
  <si>
    <t>LonRadio</t>
  </si>
  <si>
    <t>Marion Nestle, Paulette Goddard emeritus hoogleraar voedings- en voedingsstudies, zei dat de bevindingen van deze studie consistent waren met honderden andere onderzoeken op dit gebied, maar wat deze studie uniek maakt is de analyse van verschillende subgroepen binnen de categorie ultra- bewerkte voedingsmiddelen</t>
  </si>
  <si>
    <t>超加工食品须注意 多吃影响健康 - 新闻频道</t>
  </si>
  <si>
    <t>usahrsh.com</t>
  </si>
  <si>
    <t>mnegreiros.com</t>
  </si>
  <si>
    <t>Z pití syrového mléka je v USA navzdory rizikům velké hnutí. Podporuje ho i Robert F. Kennedy - Ekonomický deník</t>
  </si>
  <si>
    <t>ekonomickydenik.cz</t>
  </si>
  <si>
    <t>To je riziko, které bych nerada podstupovala,“ vysvětlila pro magazín Time Marion Nestle, emeritní profesorka výživy a veřejného zdraví na New York University.</t>
  </si>
  <si>
    <t>biznis24.si</t>
  </si>
  <si>
    <t>Slowing Alzheimer's? Diet And Other Lifestyle Changes May Be Key, Study Finds</t>
  </si>
  <si>
    <t>14 Manfaat Kesehatan Bagi Suami Istri Yang Rutin Jimak</t>
  </si>
  <si>
    <t>islampos.com</t>
  </si>
  <si>
    <t>Menurut Marion Nestle, seorang professor di New York University jurusan studi gizi dan makanan yang paling penting dalam menurunkan berat badan adalah makanan.
“Isu-isu besar dalam penurunan berat badan adalah bagaimana Anda mengubah makanan agar membuat pilihan yang sehat,” terangnya.  </t>
  </si>
  <si>
    <t>kamonline.com.ar</t>
  </si>
  <si>
    <t>Uzmanları ayağa kaldıran çiğ süt akımı! Çiğ süt içmenin zararları nedir? Çiğ süt neden içilmez?</t>
  </si>
  <si>
    <t>yasemin.com</t>
  </si>
  <si>
    <t>ABD Gıda ve İlaç İdaresi, yoğurt ürünlerinde 'Tip 2 diyabet riskini azaltma' etiketine izin verdi</t>
  </si>
  <si>
    <t>artigercek.com</t>
  </si>
  <si>
    <t>Marion Nestle, "nitelikli sağlık beyanlarının görünüşte gülünç olduğunu" söyledi.</t>
  </si>
  <si>
    <t>Etikety na jogurtech, které naznačují, že mohou snížit riziko vzniku cukrovky 2. typu, přestože obsahují vysoké hladiny cukru</t>
  </si>
  <si>
    <t>diasvet.cz</t>
  </si>
  <si>
    <t>K dosažení 10 gramů přírodního ovocného cukru by byl zapotřebí celý šálek nakrájených jahod.“
Marion Nestle, expertka na potravinovou politiku, řekla: „Kvalifikovaná zdravotní tvrzení založená na omezených důkazech jsou na jejich tváři směšná.</t>
  </si>
  <si>
    <t>THE WEIGHT OF OZEMPIC: What happens when we no longer care about food?</t>
  </si>
  <si>
    <t>lesdamessf.org</t>
  </si>
  <si>
    <t>Don’t miss this compelling panel moderated by Dame Kara Nielsen and featuring Marion Nestle (molecular biologist, nutritionist, and public health advocate), Laura Reiley (former Washington Post business of food reporter), and Shaun Chavis (content manager at Found Health and an Ozempic user). </t>
  </si>
  <si>
    <t>Rahasia Diet Sehat: Resep Lezat, Tips Jitu, dan Panduan Lengkap</t>
  </si>
  <si>
    <t>jurnalfaktual.id</t>
  </si>
  <si>
    <t>Marion Nestle, ahli gizi dari New York University, menekankan bahwa “diet yang seimbang dengan banyak buah, sayuran, dan biji-bijian adalah kunci untuk kesehatan optimal” .
Makanan olahan dan tinggi gula sering kali mengandung kalori kosong yang tidak memberikan nilai gizi.</t>
  </si>
  <si>
    <t>Seattle Medium</t>
  </si>
  <si>
    <t>Des lunchables sous le feu des critiques après des rapports faisant état de niveaux préoccupants de plomb et de sodium</t>
  </si>
  <si>
    <t>actualnewsmagazine.com</t>
  </si>
  <si>
    <t>« Les déjeuners sont de la malbouffe ultra-transformée pour les enfants », a déclaré Marion Nestle, professeur à la retraite de nutrition, d’études alimentaires et de santé publique à l’Université de New York. « Pourquoi quelqu’un penserait-il que ces aliments sont appropriés pour les repas scolaires</t>
  </si>
  <si>
    <t>Events</t>
  </si>
  <si>
    <t>June
Location: Online
Improving Equitable Access to Federal Nutrition Support Programs
Join Mathematica and the Robert Wood Johnson Foundation for a discussion on ways to break down barriers to Federal nutrition support programs with Marion Nestle</t>
  </si>
  <si>
    <t>5 etichette alimentari ingannevoli - Tradotti per voi</t>
  </si>
  <si>
    <t>managaia.eco</t>
  </si>
  <si>
    <t>«Se il marketing è fatto bene, sfugge al radar del pensiero critico», afferma Marion Nestle, professoressa di nutrizione e studi alimentari alla New York University.</t>
  </si>
  <si>
    <t>newsspace.com.br</t>
  </si>
  <si>
    <t>Marion Nestle, Professora Goddard de Nutrição, Estudos Alimentares e Política. em Saúde Pública pela Universidade de Nova York.
 Song não significa necessariamente rejeitar completamente todos os alimentos ultraprocessados ​​porque é uma categoria diferente, disse ele.</t>
  </si>
  <si>
    <t>USDA Cuts Sugar, Sodium For School Food – Getting Kids To Eat It Is Still A Challenge - Where The Food Comes From</t>
  </si>
  <si>
    <t>brasildefatorj.com.br</t>
  </si>
  <si>
    <t>Big Food Faces First-Of-Its-Kind Lawsuit Over Addictive Ultra-Processed Foods Linked To Chronic Diseases</t>
  </si>
  <si>
    <t>The post The first lawsuit against ultra-processed foods appeared first on Food Politics by Marion Nestle.</t>
  </si>
  <si>
    <t>Kombucha e nootrópicos estão na moda. Será que eles realmente funcionam?</t>
  </si>
  <si>
    <t>nationalgeographicbrasil.com</t>
  </si>
  <si>
    <t>A nutricionista Marion Nestle, professora emérita de nutrição, estudos de alimentos e saúde pública da Universidade de Nova York, afirma que as evidências sobre probióticos ainda são "bastante contraditórias".</t>
  </si>
  <si>
    <t>A luta de classes na comida e nos corpos2</t>
  </si>
  <si>
    <t>gamalivre.com.br</t>
  </si>
  <si>
    <t>Marion Nestle: Food Politics: How the Food Industry Influences Nutrition and Health, University of California Press, Berkeley, 2003.
14. Margaret Chan: «Alocución de la Dra.</t>
  </si>
  <si>
    <t>From added sugar to sodium, here's how US dietary recommendations have changed over the last 50 years - The Riverdale Press</t>
  </si>
  <si>
    <t>riverdalepress.staging2.communityq.com</t>
  </si>
  <si>
    <t>Alimento que podría reducir el riesgo de diabetes tipo 2, según la FDA: pautas específicas y cómo consumirlo</t>
  </si>
  <si>
    <t>eltiempomx.com</t>
  </si>
  <si>
    <t>Marion Nestle, nutricionista y bióloga molecular, comentó que "lo ideal sería que el yogur fuera al menos sin azúcar, pero como es complicado encontrar yogur sin azúcar, esto puede llevar a las personas que desean evitar la diabetes tipo 2 a pensar que los yogures endulzados son beneficiosos".</t>
  </si>
  <si>
    <t>Owoce i warzywa mogą zmniejszać ryzyko chorób nerek i serca</t>
  </si>
  <si>
    <t>Badanie jest tylko najnowszym z rosnącej liczby literatury dotyczącej korzyści zdrowotnych wynikających z diety bogatej w rośliny, powiedziała dr Marion Nestle, emerytowana profesor Paulette Goddard z zakresu żywienia, studiów nad żywnością i zdrowia publicznego na Uniwersytecie Nowojorskim.</t>
  </si>
  <si>
    <t>¿Puede el yogur reducir el riesgo de diabetes tipo 2?</t>
  </si>
  <si>
    <t>teleradioamerica.com</t>
  </si>
  <si>
    <t>Marion Nestlé, experta en políticas alimentarias, dijo que calificar las declaraciones de propiedades saludables basándose en evidencia limitada es a primera vista ridículo.</t>
  </si>
  <si>
    <t>Em meio à época festiva judaica, compreender a boa nutrição é vital</t>
  </si>
  <si>
    <t>telugustates.net</t>
  </si>
  <si>
    <t>Marion Nestle, PhD, MPH, é professora de nutrição, estudos alimentares e saúde pública na Universidade de Nova York. Ela escreveu que “As pessoas gostam de comprar produtos com uma ‘aura de saúde’, não importa quão mal a alegação de saúde seja apoiada pela ciência.</t>
  </si>
  <si>
    <t>Ο λόγος που οι εταιρείες δεν σταματούν τη χρήση συνθετικών χρωστικών στα τρόφιμα</t>
  </si>
  <si>
    <t>Όμως παρά τις αυξανόμενες πιέσεις, ο γίγαντας των δημητριακών είναι απίθανο να προβεί σε αλλαγές, σύμφωνα με τη Marion Nestle, κορυφαία διατροφολόγο που ήταν καθηγήτρια στο Πανεπιστήμιο της Νέας Υόρκης για σχεδόν 30 χρόνια.</t>
  </si>
  <si>
    <t>RFK Jr. mempunyai peluang besar untuk menjadikan Amerika lebih sehat</t>
  </si>
  <si>
    <t>netizen.media</t>
  </si>
  <si>
    <t>Banyak kritik Kennedy terhadap makanan besar sejalan dengan posisi yang dipegang selama bertahun-tahun oleh pakar kesehatan masyarakat seperti Marion Nestlé, ahli biologi molekuler, ahli gizi, dan advokat kesehatan masyarakat.</t>
  </si>
  <si>
    <t>Os alimentos do futuro e os bichos que você ainda vai comer</t>
  </si>
  <si>
    <t>agfeed.com.br</t>
  </si>
  <si>
    <t>Ou como diria Marion Nestle, a célebre nutricionista-ativista e autora do livro Food Politics: “as escolhas alimentares dizem respeito ao seu futuro e ao dos seus filhos. Tratam nada menos do que a democracia em ação”.</t>
  </si>
  <si>
    <t>Los retrocesos dietéticos del Proyecto 2025 limitarían la lucha contra los alimentos ultraprocesados</t>
  </si>
  <si>
    <t>oficinista.mx</t>
  </si>
  <si>
    <t>“Esta es una agenda desreguladora”, dijo Marion Nestle, profesora de nutrición y política alimentaria en la Universidad de Nueva York.</t>
  </si>
  <si>
    <t>princesa.si</t>
  </si>
  <si>
    <t>Zde jsou ultra zpracované potraviny, kterým byste se podle 30leté studie měli vyhnout</t>
  </si>
  <si>
    <t>tisen.tv</t>
  </si>
  <si>
    <t>注意！这些超加工食品要少吃，与早期死亡风险相关-城市新闻网icitynews</t>
  </si>
  <si>
    <t>icitynews.com</t>
  </si>
  <si>
    <t>纽约大学营养、食品研究和公共卫生领域的波莱特·戈达德荣誉退休教授马里昂·奈斯特（Marion Nestle）博士表示，这项研究的结果与该领域的数百项研究结果一致，但这项研究的独特之处在于，它对超加工食品中的不同亚组进行了分析。
那我们是否需要摒弃所有超加工食品吗？
宋明阳表示，他并不建议完全拒绝所有超加工食品，因为这是一个多样化的类别。他说：“谷物和全谷物面包也被归类为超加工食品，但它们含有多种有益的营养物质，如纤维、维生素和矿物质。另一方面，我确实认为人们应该尽量避免或限制某些超加工食品的消费，比如加工肉类、含糖饮料以及可能含有人工甜味剂的饮料。”</t>
  </si>
  <si>
    <t>peoplebugs.com</t>
  </si>
  <si>
    <t>Is Raw Milk Safe? Here’s What to Know</t>
  </si>
  <si>
    <t>OUEST-FRANCE đź”µ Des AmĂ©ricains boivent du lait cru pour ĂŞtre plus virils, et câ€™est un danger pour leur santĂ©</t>
  </si>
  <si>
    <t>Le Dr Marion Nestle, professeur Ă©mĂ©rite en nutrition Ă  lâ€™UniversitĂ© de New York, nâ€™hĂ©site pas Ă  qualifier la popularitĂ© du lait cru dâ€™Â« anti-scientifique Â».</t>
  </si>
  <si>
    <t>motoring.co.za</t>
  </si>
  <si>
    <t>A Place at the Table TV Spot med Jeff Bridges [Eksklusivt]</t>
  </si>
  <si>
    <t>cinemaniaz.biz</t>
  </si>
  <si>
    <t>Historiene deres er sammenvevd med innsikt fra eksperter, inkludert sosiologer Janet Poppendieck , forfatter Raj Patel og ernæringspolitisk leder Marion Nestlé ; vanlige borgere som pastor Bob Wilson og lærerne Leslie Nichols og Odessa Cherry; og aktivister som Witness to Hunger's Mariana Chilton , Toppkokk</t>
  </si>
  <si>
    <t>Interviews - FoodScience</t>
  </si>
  <si>
    <t>foodscience.org</t>
  </si>
  <si>
    <t>Marion Nestle is on a very short list of the most respected people in the world of food and nutrition. She is Paulette Goddard Professor of Nutrition, Food Studies, and Public Health, Emerita, at New York University. She is also Visiting Professor of Nutritional Sciences at Cornell.</t>
  </si>
  <si>
    <t>saudevitalidade.com</t>
  </si>
  <si>
    <t>Referências: Livro Why calories count: from science to politics, de Marion Nestle
Compartilhe com os amigos essa matéria via:
WhatsApp Face Book e Telegram
Por: Maria Clara Rossini
Fonte: Food and Drug Administration (FDA), agência regulatória dos Estados Unidos
Academia Nacional de Medicina dos</t>
  </si>
  <si>
    <t>Jemy go choćby 40 kg rocznie. A to główny powód nowotworów wśród Polaków</t>
  </si>
  <si>
    <t>zdrowie.co.pl</t>
  </si>
  <si>
    <t>Takiego zdania jest m.in. dr Marion Nestle z Uniwersytetu w Nowym Jorku.
Dlatego niezależnie od tego, czy poranną kawę lub herbatę słodzicie miodem, cukrem kokosowym, czy zwykłymi kostkami, pamiętajcie o dziennym limicie cukru.</t>
  </si>
  <si>
    <t>Študija: Ni vsa ultraprocesirana hrana enako škodljiva ~</t>
  </si>
  <si>
    <t>portal24.si</t>
  </si>
  <si>
    <t>tudoaovivo.com.br</t>
  </si>
  <si>
    <t>The FDA's Revolving Door: The Loophole In Influence An Ongoing Concern</t>
  </si>
  <si>
    <t>A Modest Proposal from the Dietary Guidelines Committee</t>
  </si>
  <si>
    <t>conscienhealth.org</t>
  </si>
  <si>
    <t>“Highly conservative (not in a good sense)” is the bottom line from Marion Nestle, Emerita Professor of Nutrition, Food Studies, and Public Health from NYU.
People who were looking for drama or something radically new from this report will be sorely disappointed.</t>
  </si>
  <si>
    <t>rewind1077.com</t>
  </si>
  <si>
    <t>好讀周報／美將更新營養指南…建議攝取植物性蛋白質 多吃豆類少吃肉</t>
  </si>
  <si>
    <t>bg3.co</t>
  </si>
  <si>
    <t>紐約大學（NYU）營養、食品研究和公共衛生名譽教授瑪莉安‧內索（Marion Nestle）曾參與制定1995年膳食指南，她對於DGAC未對超加工食品的提出警示的做法感到「令人震驚」。她認爲，目前已有大量證據表明美國人應該少吃超加工食品，且即將就任的川普政府似乎準備嚴厲打擊這類食品。
許多研究認爲，超加工食品與肥胖、心臟病和第二型糖尿病發病率增加息息相關。（圖／取自網路）</t>
  </si>
  <si>
    <t>briefly.co</t>
  </si>
  <si>
    <t>It's also quite salty and high in fat, so it falls in the category of enjoy in moderation," said Marion Nestle, professor of nutrition, food studies and public health at New York University.</t>
  </si>
  <si>
    <t>Does Yogurt Consumption Lower Type 2 Diabetes Risk?</t>
  </si>
  <si>
    <t>financialnews.com</t>
  </si>
  <si>
    <t>Marion Nestle, a recognized food policy expert, claimed health claims based on limited evidence were "ridiculous on their face".</t>
  </si>
  <si>
    <t>Twinkies vs. Gesundheitspolitik: Die unstillbare Snacklust der Amerikaner | Eulerpool News</t>
  </si>
  <si>
    <t>eulerpool.com</t>
  </si>
  <si>
    <t>Gorge Country Media</t>
  </si>
  <si>
    <t>Lunch boxes have high levels of lead and sodium, according to Consumer Reports</t>
  </si>
  <si>
    <t>“Lunch boxes are ultra-processed junk food for kids,” says Marion Nestle, a retired professor of nutrition, food studies and public health at New York University. “Why anyone thinks these are appropriate for school lunches is beyond me. Yes, they’re cheap, and yes, kids like them.</t>
  </si>
  <si>
    <t>2810.gr</t>
  </si>
  <si>
    <t>Pengganti gula xylitol dikaitkan dengan peningkatan risiko serangan jantung dan stroke</t>
  </si>
  <si>
    <t>dimensiaktual.com</t>
  </si>
  <si>
    <t>“Studi ini menambah banyak literatur tentang potensi masalah fisiologis yang disebabkan oleh pemanis buatan,” tulis Marion Nestle, profesor nutrisi emeritus di New York University, melalui email. “Para peneliti menemukan masalah satu demi satu, sekarang xylitol.”</t>
  </si>
  <si>
    <t>Care sunt alimentele ultraprocesate pe care trebuie să le eviți cel mai mult, potrivit unui studiu făcut de-a lungul a 30 de ani</t>
  </si>
  <si>
    <t>g4food.ro</t>
  </si>
  <si>
    <t>Marion Nestle, profesor emerit Paulette Goddard de nutriție, studii alimentare și sănătate publică la Universitatea din New York.
Song nu ar sfătui neapărat o respingere completă a tuturor alimentelor ultraprocesate, deoarece este o categorie diversă, a spus el.</t>
  </si>
  <si>
    <t>Ποιές συνήθειες μετά τα 40 μπορούν να επιταχύνουν την απώλεια βάρους;</t>
  </si>
  <si>
    <t>fonografos.net</t>
  </si>
  <si>
    <t>prensapuradigital.com</t>
  </si>
  <si>
    <t>2024 Bloomberg American Health Summit in Washington, D.C., to Spotlight Concrete Ways to Advance Public Health Amid Political Division | Johns Hopkins Bloomberg School of Public Health</t>
  </si>
  <si>
    <t>jhu.edu</t>
  </si>
  <si>
    <t>industriesnews.net</t>
  </si>
  <si>
    <t>dairynews7x7.com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</si>
</sst>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hh:mm:ss"/>
  </numFmts>
  <fonts count="3" x14ac:knownFonts="1">
    <font>
      <sz val="11"/>
      <color theme="1"/>
      <name val="Calibri"/>
      <family val="2"/>
      <scheme val="minor"/>
    </font>
    <font>
      <b/>
      <sz val="10"/>
      <name val="Arial"/>
      <family val="2"/>
    </font>
    <font>
      <sz val="10"/>
      <name val="Arial"/>
      <family val="2"/>
    </font>
  </fonts>
  <fills count="2">
    <fill>
      <patternFill patternType="none"/>
    </fill>
    <fill>
      <patternFill patternType="gray125"/>
    </fill>
  </fills>
  <borders count="2">
    <border>
      <left/>
      <right/>
      <top/>
      <bottom/>
      <diagonal/>
    </border>
    <border>
      <left/>
      <right/>
      <top/>
      <bottom/>
      <diagonal/>
    </border>
  </borders>
  <cellStyleXfs count="5">
    <xf numFmtId="0" fontId="0" fillId="0" borderId="0"/>
    <xf numFmtId="0" fontId="1" fillId="0" borderId="1"/>
    <xf numFmtId="0" fontId="2" fillId="0" borderId="1">
      <alignment vertical="top" wrapText="1"/>
    </xf>
    <xf numFmtId="164" fontId="2" fillId="0" borderId="1">
      <alignment vertical="top" wrapText="1"/>
    </xf>
    <xf numFmtId="165" fontId="2" fillId="0" borderId="1">
      <alignment vertical="top" wrapText="1"/>
    </xf>
  </cellStyleXfs>
  <cellXfs count="4">
    <xf numFmtId="0" fontId="0" fillId="0" borderId="0" xfId="0"/>
    <xf numFmtId="0" fontId="1" fillId="0" borderId="1" xfId="1"/>
    <xf numFmtId="0" fontId="2" fillId="0" borderId="1" xfId="2">
      <alignment vertical="top" wrapText="1"/>
    </xf>
    <xf numFmtId="165" fontId="2" fillId="0" borderId="1" xfId="4">
      <alignment vertical="top" wrapText="1"/>
    </xf>
  </cellXfs>
  <cellStyles count="5">
    <cellStyle name="mr_date" xfId="3" xr:uid="{00000000-0005-0000-0000-000003000000}"/>
    <cellStyle name="mr_datetime" xfId="4" xr:uid="{00000000-0005-0000-0000-000004000000}"/>
    <cellStyle name="mr_header" xfId="1" xr:uid="{00000000-0005-0000-0000-000001000000}"/>
    <cellStyle name="mr_normal" xfId="2"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58"/>
  <sheetViews>
    <sheetView tabSelected="1" workbookViewId="0">
      <selection activeCell="A4151" sqref="A4151:XFD4151"/>
    </sheetView>
  </sheetViews>
  <sheetFormatPr baseColWidth="10" defaultColWidth="8.83203125" defaultRowHeight="15" x14ac:dyDescent="0.2"/>
  <cols>
    <col min="1" max="1" width="48" customWidth="1"/>
    <col min="2" max="2" width="32" customWidth="1"/>
    <col min="3" max="3" width="24" customWidth="1"/>
    <col min="4" max="4" width="19" customWidth="1"/>
    <col min="5" max="5" width="48" customWidth="1"/>
  </cols>
  <sheetData>
    <row r="1" spans="1:5" x14ac:dyDescent="0.2">
      <c r="A1" s="1" t="s">
        <v>1</v>
      </c>
      <c r="B1" s="1" t="s">
        <v>0</v>
      </c>
      <c r="C1" s="1" t="s">
        <v>2</v>
      </c>
      <c r="D1" s="1" t="s">
        <v>3</v>
      </c>
      <c r="E1" s="1" t="s">
        <v>4</v>
      </c>
    </row>
    <row r="2" spans="1:5" ht="84" x14ac:dyDescent="0.2">
      <c r="A2" s="2" t="s">
        <v>2688</v>
      </c>
      <c r="B2" s="2" t="str">
        <f>HYPERLINK("https://es.wired.com/articulos/lasana-que-dura-25-anos-avena-militar-y-el-auge-de-los-alimentos-de-supervivencia")</f>
        <v>https://es.wired.com/articulos/lasana-que-dura-25-anos-avena-militar-y-el-auge-de-los-alimentos-de-supervivencia</v>
      </c>
      <c r="C2" s="2" t="s">
        <v>2689</v>
      </c>
      <c r="D2" s="3">
        <v>45292.299560185187</v>
      </c>
      <c r="E2" s="2" t="s">
        <v>2690</v>
      </c>
    </row>
    <row r="3" spans="1:5" ht="70" x14ac:dyDescent="0.2">
      <c r="A3" s="2" t="s">
        <v>157</v>
      </c>
      <c r="B3" s="2" t="str">
        <f>HYPERLINK("https://canoe.com/news/world/look-for-these-9-red-flags-to-identify-food-that-is-ultra-processed")</f>
        <v>https://canoe.com/news/world/look-for-these-9-red-flags-to-identify-food-that-is-ultra-processed</v>
      </c>
      <c r="C3" s="2" t="s">
        <v>2242</v>
      </c>
      <c r="D3" s="3">
        <v>45293</v>
      </c>
      <c r="E3" s="2" t="s">
        <v>450</v>
      </c>
    </row>
    <row r="4" spans="1:5" ht="70" x14ac:dyDescent="0.2">
      <c r="A4" s="2" t="s">
        <v>157</v>
      </c>
      <c r="B4" s="2" t="str">
        <f>HYPERLINK("https://calgarysun.com/news/world/look-for-these-9-red-flags-to-identify-food-that-is-ultra-processed")</f>
        <v>https://calgarysun.com/news/world/look-for-these-9-red-flags-to-identify-food-that-is-ultra-processed</v>
      </c>
      <c r="C4" s="2" t="s">
        <v>2265</v>
      </c>
      <c r="D4" s="3">
        <v>45293</v>
      </c>
      <c r="E4" s="2" t="s">
        <v>450</v>
      </c>
    </row>
    <row r="5" spans="1:5" ht="70" x14ac:dyDescent="0.2">
      <c r="A5" s="2" t="s">
        <v>157</v>
      </c>
      <c r="B5" s="2" t="str">
        <f>HYPERLINK("https://edmontonsun.com/news/world/look-for-these-9-red-flags-to-identify-food-that-is-ultra-processed")</f>
        <v>https://edmontonsun.com/news/world/look-for-these-9-red-flags-to-identify-food-that-is-ultra-processed</v>
      </c>
      <c r="C5" s="2" t="s">
        <v>2308</v>
      </c>
      <c r="D5" s="3">
        <v>45293</v>
      </c>
      <c r="E5" s="2" t="s">
        <v>450</v>
      </c>
    </row>
    <row r="6" spans="1:5" ht="70" x14ac:dyDescent="0.2">
      <c r="A6" s="2" t="s">
        <v>157</v>
      </c>
      <c r="B6" s="2" t="str">
        <f>HYPERLINK("https://ottawasun.com/news/world/look-for-these-9-red-flags-to-identify-food-that-is-ultra-processed")</f>
        <v>https://ottawasun.com/news/world/look-for-these-9-red-flags-to-identify-food-that-is-ultra-processed</v>
      </c>
      <c r="C6" s="2" t="s">
        <v>2309</v>
      </c>
      <c r="D6" s="3">
        <v>45293</v>
      </c>
      <c r="E6" s="2" t="s">
        <v>450</v>
      </c>
    </row>
    <row r="7" spans="1:5" ht="70" x14ac:dyDescent="0.2">
      <c r="A7" s="2" t="s">
        <v>157</v>
      </c>
      <c r="B7" s="2" t="str">
        <f>HYPERLINK("https://theprovince.com/news/world/look-for-these-9-red-flags-to-identify-food-that-is-ultra-processed")</f>
        <v>https://theprovince.com/news/world/look-for-these-9-red-flags-to-identify-food-that-is-ultra-processed</v>
      </c>
      <c r="C7" s="2" t="s">
        <v>2462</v>
      </c>
      <c r="D7" s="3">
        <v>45293</v>
      </c>
      <c r="E7" s="2" t="s">
        <v>450</v>
      </c>
    </row>
    <row r="8" spans="1:5" ht="70" x14ac:dyDescent="0.2">
      <c r="A8" s="2" t="s">
        <v>157</v>
      </c>
      <c r="B8" s="2" t="str">
        <f>HYPERLINK("https://winnipegsun.com/news/world/look-for-these-9-red-flags-to-identify-food-that-is-ultra-processed")</f>
        <v>https://winnipegsun.com/news/world/look-for-these-9-red-flags-to-identify-food-that-is-ultra-processed</v>
      </c>
      <c r="C8" s="2" t="s">
        <v>2563</v>
      </c>
      <c r="D8" s="3">
        <v>45293</v>
      </c>
      <c r="E8" s="2" t="s">
        <v>450</v>
      </c>
    </row>
    <row r="9" spans="1:5" ht="70" x14ac:dyDescent="0.2">
      <c r="A9" s="2" t="s">
        <v>157</v>
      </c>
      <c r="B9" s="2" t="str">
        <f>HYPERLINK("https://torontosun.com/news/world/look-for-these-9-red-flags-to-identify-food-that-is-ultra-processed")</f>
        <v>https://torontosun.com/news/world/look-for-these-9-red-flags-to-identify-food-that-is-ultra-processed</v>
      </c>
      <c r="C9" s="2" t="s">
        <v>3115</v>
      </c>
      <c r="D9" s="3">
        <v>45293</v>
      </c>
      <c r="E9" s="2" t="s">
        <v>450</v>
      </c>
    </row>
    <row r="10" spans="1:5" ht="42" x14ac:dyDescent="0.2">
      <c r="A10" s="2" t="s">
        <v>1053</v>
      </c>
      <c r="B10" s="2" t="str">
        <f>HYPERLINK("https://www.aftenposteninnsikt.no/verden/den-hvite-drikken-som-sier-hvem-du-er")</f>
        <v>https://www.aftenposteninnsikt.no/verden/den-hvite-drikken-som-sier-hvem-du-er</v>
      </c>
      <c r="C10" s="2" t="s">
        <v>1054</v>
      </c>
      <c r="D10" s="3">
        <v>45293.01363425926</v>
      </c>
      <c r="E10" s="2" t="s">
        <v>1055</v>
      </c>
    </row>
    <row r="11" spans="1:5" ht="70" x14ac:dyDescent="0.2">
      <c r="A11" s="2" t="s">
        <v>157</v>
      </c>
      <c r="B11" s="2" t="str">
        <f>HYPERLINK("https://www.washingtonpost.com/wellness/2024/01/02/ultra-processed-foods-identification/")</f>
        <v>https://www.washingtonpost.com/wellness/2024/01/02/ultra-processed-foods-identification/</v>
      </c>
      <c r="C11" s="2" t="s">
        <v>3634</v>
      </c>
      <c r="D11" s="3">
        <v>45293.25644675926</v>
      </c>
      <c r="E11" s="2" t="s">
        <v>450</v>
      </c>
    </row>
    <row r="12" spans="1:5" ht="70" x14ac:dyDescent="0.2">
      <c r="A12" s="2" t="s">
        <v>157</v>
      </c>
      <c r="B12" s="2" t="str">
        <f>HYPERLINK("https://uk.sports.yahoo.com/news/look-9-red-flags-identify-131618541.html")</f>
        <v>https://uk.sports.yahoo.com/news/look-9-red-flags-identify-131618541.html</v>
      </c>
      <c r="C12" s="2" t="s">
        <v>2814</v>
      </c>
      <c r="D12" s="3">
        <v>45293.344652777778</v>
      </c>
      <c r="E12" s="2" t="s">
        <v>2737</v>
      </c>
    </row>
    <row r="13" spans="1:5" ht="70" x14ac:dyDescent="0.2">
      <c r="A13" s="2" t="s">
        <v>157</v>
      </c>
      <c r="B13" s="2" t="str">
        <f>HYPERLINK("https://uk.news.yahoo.com/look-9-red-flags-identify-131618541.html")</f>
        <v>https://uk.news.yahoo.com/look-9-red-flags-identify-131618541.html</v>
      </c>
      <c r="C13" s="2" t="s">
        <v>3264</v>
      </c>
      <c r="D13" s="3">
        <v>45293.344652777778</v>
      </c>
      <c r="E13" s="2" t="s">
        <v>2737</v>
      </c>
    </row>
    <row r="14" spans="1:5" ht="98" x14ac:dyDescent="0.2">
      <c r="A14" s="2" t="s">
        <v>2401</v>
      </c>
      <c r="B14" s="2" t="str">
        <f>HYPERLINK("https://www.trailrunnermag.com/training/health-fitness-trend-predictions-2024/")</f>
        <v>https://www.trailrunnermag.com/training/health-fitness-trend-predictions-2024/</v>
      </c>
      <c r="C14" s="2" t="s">
        <v>2402</v>
      </c>
      <c r="D14" s="3">
        <v>45293.446388888893</v>
      </c>
      <c r="E14" s="2" t="s">
        <v>2403</v>
      </c>
    </row>
    <row r="15" spans="1:5" ht="70" x14ac:dyDescent="0.2">
      <c r="A15" s="2" t="s">
        <v>157</v>
      </c>
      <c r="B15" s="2" t="str">
        <f>HYPERLINK("https://www.adn.com/alaska-life/advice/2024/01/02/look-for-these-9-red-flags-to-identify-food-that-is-ultra-processed/")</f>
        <v>https://www.adn.com/alaska-life/advice/2024/01/02/look-for-these-9-red-flags-to-identify-food-that-is-ultra-processed/</v>
      </c>
      <c r="C15" s="2" t="s">
        <v>2640</v>
      </c>
      <c r="D15" s="3">
        <v>45293.490543981483</v>
      </c>
      <c r="E15" s="2" t="s">
        <v>450</v>
      </c>
    </row>
    <row r="16" spans="1:5" ht="70" x14ac:dyDescent="0.2">
      <c r="A16" s="2" t="s">
        <v>157</v>
      </c>
      <c r="B16" s="2" t="str">
        <f>HYPERLINK("https://malaysia.news.yahoo.com/look-9-red-flags-identify-131618541.html")</f>
        <v>https://malaysia.news.yahoo.com/look-9-red-flags-identify-131618541.html</v>
      </c>
      <c r="C16" s="2" t="s">
        <v>2674</v>
      </c>
      <c r="D16" s="3">
        <v>45293.562974537039</v>
      </c>
      <c r="E16" s="2" t="s">
        <v>2737</v>
      </c>
    </row>
    <row r="17" spans="1:5" ht="70" x14ac:dyDescent="0.2">
      <c r="A17" s="2" t="s">
        <v>157</v>
      </c>
      <c r="B17" s="2" t="str">
        <f>HYPERLINK("https://au.lifestyle.yahoo.com/look-9-red-flags-identify-131618541.html")</f>
        <v>https://au.lifestyle.yahoo.com/look-9-red-flags-identify-131618541.html</v>
      </c>
      <c r="C17" s="2" t="s">
        <v>3030</v>
      </c>
      <c r="D17" s="3">
        <v>45293.562974537039</v>
      </c>
      <c r="E17" s="2" t="s">
        <v>2737</v>
      </c>
    </row>
    <row r="18" spans="1:5" ht="70" x14ac:dyDescent="0.2">
      <c r="A18" s="2" t="s">
        <v>157</v>
      </c>
      <c r="B18" s="2" t="str">
        <f>HYPERLINK("https://ca.news.yahoo.com/look-9-red-flags-identify-131618541.html")</f>
        <v>https://ca.news.yahoo.com/look-9-red-flags-identify-131618541.html</v>
      </c>
      <c r="C18" s="2" t="s">
        <v>3097</v>
      </c>
      <c r="D18" s="3">
        <v>45293.562974537039</v>
      </c>
      <c r="E18" s="2" t="s">
        <v>2737</v>
      </c>
    </row>
    <row r="19" spans="1:5" ht="70" x14ac:dyDescent="0.2">
      <c r="A19" s="2" t="s">
        <v>157</v>
      </c>
      <c r="B19" s="2" t="str">
        <f>HYPERLINK("https://ca.yahoo.com/news/look-9-red-flags-identify-131618541.html")</f>
        <v>https://ca.yahoo.com/news/look-9-red-flags-identify-131618541.html</v>
      </c>
      <c r="C19" s="2" t="s">
        <v>3097</v>
      </c>
      <c r="D19" s="3">
        <v>45293.562974537039</v>
      </c>
      <c r="E19" s="2" t="s">
        <v>2737</v>
      </c>
    </row>
    <row r="20" spans="1:5" ht="70" x14ac:dyDescent="0.2">
      <c r="A20" s="2" t="s">
        <v>157</v>
      </c>
      <c r="B20" s="2" t="str">
        <f>HYPERLINK("https://www.yahoo.com/lifestyle/look-9-red-flags-identify-131618541.html")</f>
        <v>https://www.yahoo.com/lifestyle/look-9-red-flags-identify-131618541.html</v>
      </c>
      <c r="C20" s="2" t="s">
        <v>3726</v>
      </c>
      <c r="D20" s="3">
        <v>45293.566655092603</v>
      </c>
      <c r="E20" s="2" t="s">
        <v>2737</v>
      </c>
    </row>
    <row r="21" spans="1:5" ht="70" x14ac:dyDescent="0.2">
      <c r="A21" s="2" t="s">
        <v>157</v>
      </c>
      <c r="B21" s="2" t="str">
        <f>HYPERLINK("https://ca.sports.yahoo.com/news/look-9-red-flags-identify-131618541.html")</f>
        <v>https://ca.sports.yahoo.com/news/look-9-red-flags-identify-131618541.html</v>
      </c>
      <c r="C21" s="2" t="s">
        <v>2771</v>
      </c>
      <c r="D21" s="3">
        <v>45293.566932870373</v>
      </c>
      <c r="E21" s="2" t="s">
        <v>2737</v>
      </c>
    </row>
    <row r="22" spans="1:5" ht="70" x14ac:dyDescent="0.2">
      <c r="A22" s="2" t="s">
        <v>5</v>
      </c>
      <c r="B22" s="2" t="str">
        <f>HYPERLINK("https://newsnetdaily.com/look-for-these-9-red-flags-to-identify-ultra-processed-foods/")</f>
        <v>https://newsnetdaily.com/look-for-these-9-red-flags-to-identify-ultra-processed-foods/</v>
      </c>
      <c r="C22" s="2" t="s">
        <v>6</v>
      </c>
      <c r="D22" s="3">
        <v>45293.579884259263</v>
      </c>
      <c r="E22" s="2" t="s">
        <v>7</v>
      </c>
    </row>
    <row r="23" spans="1:5" ht="56" x14ac:dyDescent="0.2">
      <c r="A23" s="2" t="s">
        <v>796</v>
      </c>
      <c r="B23" s="2" t="str">
        <f>HYPERLINK("https://news-24.fr/recherchez-ces-9-signaux-dalarme-pour-identifier-les-aliments-ultra-transformes/")</f>
        <v>https://news-24.fr/recherchez-ces-9-signaux-dalarme-pour-identifier-les-aliments-ultra-transformes/</v>
      </c>
      <c r="C23" s="2" t="s">
        <v>797</v>
      </c>
      <c r="D23" s="3">
        <v>45293.583634259259</v>
      </c>
      <c r="E23" s="2" t="s">
        <v>798</v>
      </c>
    </row>
    <row r="24" spans="1:5" ht="70" x14ac:dyDescent="0.2">
      <c r="A24" s="2" t="s">
        <v>3036</v>
      </c>
      <c r="B24" s="2" t="str">
        <f>HYPERLINK("https://newsfounded.com/look-for-these-9-red-flags-to-identify-ultra-processed-food/")</f>
        <v>https://newsfounded.com/look-for-these-9-red-flags-to-identify-ultra-processed-food/</v>
      </c>
      <c r="C24" s="2" t="s">
        <v>3771</v>
      </c>
      <c r="D24" s="3">
        <v>45293.595300925917</v>
      </c>
      <c r="E24" s="2" t="s">
        <v>3974</v>
      </c>
    </row>
    <row r="25" spans="1:5" ht="70" x14ac:dyDescent="0.2">
      <c r="A25" s="2" t="s">
        <v>4077</v>
      </c>
      <c r="B25" s="2" t="str">
        <f>HYPERLINK("https://ry-sa.pl/poszukaj-tych-dziewieciu-czerwonych-flag-ktore-pomoga-ci-zidentyfikowac-zywnosc-ultraprzetworzona/")</f>
        <v>https://ry-sa.pl/poszukaj-tych-dziewieciu-czerwonych-flag-ktore-pomoga-ci-zidentyfikowac-zywnosc-ultraprzetworzona/</v>
      </c>
      <c r="C25" s="2" t="s">
        <v>4078</v>
      </c>
      <c r="D25" s="3">
        <v>45293.606261574067</v>
      </c>
      <c r="E25" s="2" t="s">
        <v>4079</v>
      </c>
    </row>
    <row r="26" spans="1:5" ht="70" x14ac:dyDescent="0.2">
      <c r="A26" s="2" t="s">
        <v>157</v>
      </c>
      <c r="B26" s="2" t="str">
        <f>HYPERLINK("https://pedfire.com/look-for-these-9-red-flags-to-identify-food-that-is-ultra-processed/")</f>
        <v>https://pedfire.com/look-for-these-9-red-flags-to-identify-food-that-is-ultra-processed/</v>
      </c>
      <c r="C26" s="2" t="s">
        <v>446</v>
      </c>
      <c r="D26" s="3">
        <v>45293.607395833344</v>
      </c>
      <c r="E26" s="2" t="s">
        <v>450</v>
      </c>
    </row>
    <row r="27" spans="1:5" ht="84" x14ac:dyDescent="0.2">
      <c r="A27" s="2" t="s">
        <v>412</v>
      </c>
      <c r="B27" s="2" t="str">
        <f>HYPERLINK("https://pressnewsagency.org/search-for-these-9-pink-flags-to-establish-meals-thats-ultra-processed/")</f>
        <v>https://pressnewsagency.org/search-for-these-9-pink-flags-to-establish-meals-thats-ultra-processed/</v>
      </c>
      <c r="C27" s="2" t="s">
        <v>394</v>
      </c>
      <c r="D27" s="3">
        <v>45293.634189814817</v>
      </c>
      <c r="E27" s="2" t="s">
        <v>413</v>
      </c>
    </row>
    <row r="28" spans="1:5" ht="56" x14ac:dyDescent="0.2">
      <c r="A28" s="2" t="s">
        <v>796</v>
      </c>
      <c r="B28" s="2" t="str">
        <f>HYPERLINK("https://news-24.fr/recherchez-ces-9-signaux-dalarme-pour-identifier-les-aliments-ultra-transformes-2/")</f>
        <v>https://news-24.fr/recherchez-ces-9-signaux-dalarme-pour-identifier-les-aliments-ultra-transformes-2/</v>
      </c>
      <c r="C28" s="2" t="s">
        <v>797</v>
      </c>
      <c r="D28" s="3">
        <v>45293.691134259258</v>
      </c>
      <c r="E28" s="2" t="s">
        <v>798</v>
      </c>
    </row>
    <row r="29" spans="1:5" ht="70" x14ac:dyDescent="0.2">
      <c r="A29" s="2" t="s">
        <v>157</v>
      </c>
      <c r="B29" s="2" t="str">
        <f>HYPERLINK("http://sundaytribune.co.za/sunday-tribune/lifestyle/look-for-these-9-red-flags-to-identify-food-that-is-ultra-processed-d963441a-2b00-4094-ae3b-955eeda5c5e2")</f>
        <v>http://sundaytribune.co.za/sunday-tribune/lifestyle/look-for-these-9-red-flags-to-identify-food-that-is-ultra-processed-d963441a-2b00-4094-ae3b-955eeda5c5e2</v>
      </c>
      <c r="C29" s="2" t="s">
        <v>158</v>
      </c>
      <c r="D29" s="3">
        <v>45294.510416666657</v>
      </c>
      <c r="E29" s="2" t="s">
        <v>159</v>
      </c>
    </row>
    <row r="30" spans="1:5" ht="70" x14ac:dyDescent="0.2">
      <c r="A30" s="2" t="s">
        <v>157</v>
      </c>
      <c r="B30" s="2" t="str">
        <f>HYPERLINK("http://pretorianews.co.za/sunday-tribune/lifestyle/look-for-these-9-red-flags-to-identify-food-that-is-ultra-processed-d963441a-2b00-4094-ae3b-955eeda5c5e2")</f>
        <v>http://pretorianews.co.za/sunday-tribune/lifestyle/look-for-these-9-red-flags-to-identify-food-that-is-ultra-processed-d963441a-2b00-4094-ae3b-955eeda5c5e2</v>
      </c>
      <c r="C30" s="2" t="s">
        <v>195</v>
      </c>
      <c r="D30" s="3">
        <v>45294.510416666657</v>
      </c>
      <c r="E30" s="2" t="s">
        <v>159</v>
      </c>
    </row>
    <row r="31" spans="1:5" ht="70" x14ac:dyDescent="0.2">
      <c r="A31" s="2" t="s">
        <v>157</v>
      </c>
      <c r="B31" s="2" t="str">
        <f>HYPERLINK("https://www.tios.co.za/sunday-tribune/lifestyle/look-for-these-9-red-flags-to-identify-food-that-is-ultra-processed-d963441a-2b00-4094-ae3b-955eeda5c5e2")</f>
        <v>https://www.tios.co.za/sunday-tribune/lifestyle/look-for-these-9-red-flags-to-identify-food-that-is-ultra-processed-d963441a-2b00-4094-ae3b-955eeda5c5e2</v>
      </c>
      <c r="C31" s="2" t="s">
        <v>425</v>
      </c>
      <c r="D31" s="3">
        <v>45294.510416666657</v>
      </c>
      <c r="E31" s="2" t="s">
        <v>159</v>
      </c>
    </row>
    <row r="32" spans="1:5" ht="70" x14ac:dyDescent="0.2">
      <c r="A32" s="2" t="s">
        <v>157</v>
      </c>
      <c r="B32" s="2" t="str">
        <f>HYPERLINK("https://www.persfin.co.za/sunday-tribune/lifestyle/look-for-these-9-red-flags-to-identify-food-that-is-ultra-processed-d963441a-2b00-4094-ae3b-955eeda5c5e2")</f>
        <v>https://www.persfin.co.za/sunday-tribune/lifestyle/look-for-these-9-red-flags-to-identify-food-that-is-ultra-processed-d963441a-2b00-4094-ae3b-955eeda5c5e2</v>
      </c>
      <c r="C32" s="2" t="s">
        <v>483</v>
      </c>
      <c r="D32" s="3">
        <v>45294.510416666657</v>
      </c>
      <c r="E32" s="2" t="s">
        <v>159</v>
      </c>
    </row>
    <row r="33" spans="1:5" ht="70" x14ac:dyDescent="0.2">
      <c r="A33" s="2" t="s">
        <v>157</v>
      </c>
      <c r="B33" s="2" t="str">
        <f>HYPERLINK("http://sundayindependent.co.za/sunday-tribune/lifestyle/look-for-these-9-red-flags-to-identify-food-that-is-ultra-processed-d963441a-2b00-4094-ae3b-955eeda5c5e2")</f>
        <v>http://sundayindependent.co.za/sunday-tribune/lifestyle/look-for-these-9-red-flags-to-identify-food-that-is-ultra-processed-d963441a-2b00-4094-ae3b-955eeda5c5e2</v>
      </c>
      <c r="C33" s="2" t="s">
        <v>3255</v>
      </c>
      <c r="D33" s="3">
        <v>45294.510416666657</v>
      </c>
      <c r="E33" s="2" t="s">
        <v>159</v>
      </c>
    </row>
    <row r="34" spans="1:5" ht="70" x14ac:dyDescent="0.2">
      <c r="A34" s="2" t="s">
        <v>157</v>
      </c>
      <c r="B34" s="2" t="str">
        <f>HYPERLINK("https://www.busrep.co.za/sunday-tribune/lifestyle/look-for-these-9-red-flags-to-identify-food-that-is-ultra-processed-d963441a-2b00-4094-ae3b-955eeda5c5e2")</f>
        <v>https://www.busrep.co.za/sunday-tribune/lifestyle/look-for-these-9-red-flags-to-identify-food-that-is-ultra-processed-d963441a-2b00-4094-ae3b-955eeda5c5e2</v>
      </c>
      <c r="C34" s="2" t="s">
        <v>3738</v>
      </c>
      <c r="D34" s="3">
        <v>45294.510416666657</v>
      </c>
      <c r="E34" s="2" t="s">
        <v>159</v>
      </c>
    </row>
    <row r="35" spans="1:5" ht="70" x14ac:dyDescent="0.2">
      <c r="A35" s="2" t="s">
        <v>157</v>
      </c>
      <c r="B35" s="2" t="str">
        <f>HYPERLINK("https://www.iolnews.co.za/sunday-tribune/lifestyle/look-for-these-9-red-flags-to-identify-food-that-is-ultra-processed-d963441a-2b00-4094-ae3b-955eeda5c5e2")</f>
        <v>https://www.iolnews.co.za/sunday-tribune/lifestyle/look-for-these-9-red-flags-to-identify-food-that-is-ultra-processed-d963441a-2b00-4094-ae3b-955eeda5c5e2</v>
      </c>
      <c r="C35" s="2" t="s">
        <v>3789</v>
      </c>
      <c r="D35" s="3">
        <v>45294.510416666657</v>
      </c>
      <c r="E35" s="2" t="s">
        <v>159</v>
      </c>
    </row>
    <row r="36" spans="1:5" ht="70" x14ac:dyDescent="0.2">
      <c r="A36" s="2" t="s">
        <v>157</v>
      </c>
      <c r="B36" s="2" t="str">
        <f>HYPERLINK("http://capeargus.co.za/sunday-tribune/lifestyle/look-for-these-9-red-flags-to-identify-food-that-is-ultra-processed-d963441a-2b00-4094-ae3b-955eeda5c5e2")</f>
        <v>http://capeargus.co.za/sunday-tribune/lifestyle/look-for-these-9-red-flags-to-identify-food-that-is-ultra-processed-d963441a-2b00-4094-ae3b-955eeda5c5e2</v>
      </c>
      <c r="C36" s="2" t="s">
        <v>3814</v>
      </c>
      <c r="D36" s="3">
        <v>45294.510416666657</v>
      </c>
      <c r="E36" s="2" t="s">
        <v>159</v>
      </c>
    </row>
    <row r="37" spans="1:5" ht="70" x14ac:dyDescent="0.2">
      <c r="A37" s="2" t="s">
        <v>157</v>
      </c>
      <c r="B37" s="2" t="str">
        <f>HYPERLINK("https://iolnewsletters.co.za/sunday-tribune/lifestyle/look-for-these-9-red-flags-to-identify-food-that-is-ultra-processed-d963441a-2b00-4094-ae3b-955eeda5c5e2")</f>
        <v>https://iolnewsletters.co.za/sunday-tribune/lifestyle/look-for-these-9-red-flags-to-identify-food-that-is-ultra-processed-d963441a-2b00-4094-ae3b-955eeda5c5e2</v>
      </c>
      <c r="C37" s="2" t="s">
        <v>3892</v>
      </c>
      <c r="D37" s="3">
        <v>45294.510416666657</v>
      </c>
      <c r="E37" s="2" t="s">
        <v>159</v>
      </c>
    </row>
    <row r="38" spans="1:5" ht="70" x14ac:dyDescent="0.2">
      <c r="A38" s="2" t="s">
        <v>157</v>
      </c>
      <c r="B38" s="2" t="str">
        <f>HYPERLINK("http://capetimes.co.za/sunday-tribune/lifestyle/look-for-these-9-red-flags-to-identify-food-that-is-ultra-processed-d963441a-2b00-4094-ae3b-955eeda5c5e2")</f>
        <v>http://capetimes.co.za/sunday-tribune/lifestyle/look-for-these-9-red-flags-to-identify-food-that-is-ultra-processed-d963441a-2b00-4094-ae3b-955eeda5c5e2</v>
      </c>
      <c r="C38" s="2" t="s">
        <v>3942</v>
      </c>
      <c r="D38" s="3">
        <v>45294.510416666657</v>
      </c>
      <c r="E38" s="2" t="s">
        <v>159</v>
      </c>
    </row>
    <row r="39" spans="1:5" ht="70" x14ac:dyDescent="0.2">
      <c r="A39" s="2" t="s">
        <v>157</v>
      </c>
      <c r="B39" s="2" t="str">
        <f>HYPERLINK("https://iollifestyle.co.za/sunday-tribune/lifestyle/look-for-these-9-red-flags-to-identify-food-that-is-ultra-processed-d963441a-2b00-4094-ae3b-955eeda5c5e2")</f>
        <v>https://iollifestyle.co.za/sunday-tribune/lifestyle/look-for-these-9-red-flags-to-identify-food-that-is-ultra-processed-d963441a-2b00-4094-ae3b-955eeda5c5e2</v>
      </c>
      <c r="C39" s="2" t="s">
        <v>3948</v>
      </c>
      <c r="D39" s="3">
        <v>45294.510416666657</v>
      </c>
      <c r="E39" s="2" t="s">
        <v>159</v>
      </c>
    </row>
    <row r="40" spans="1:5" ht="70" x14ac:dyDescent="0.2">
      <c r="A40" s="2" t="s">
        <v>157</v>
      </c>
      <c r="B40" s="2" t="str">
        <f>HYPERLINK("http://thestar.co.za/sunday-tribune/lifestyle/look-for-these-9-red-flags-to-identify-food-that-is-ultra-processed-d963441a-2b00-4094-ae3b-955eeda5c5e2")</f>
        <v>http://thestar.co.za/sunday-tribune/lifestyle/look-for-these-9-red-flags-to-identify-food-that-is-ultra-processed-d963441a-2b00-4094-ae3b-955eeda5c5e2</v>
      </c>
      <c r="C40" s="2" t="s">
        <v>3969</v>
      </c>
      <c r="D40" s="3">
        <v>45294.510416666657</v>
      </c>
      <c r="E40" s="2" t="s">
        <v>159</v>
      </c>
    </row>
    <row r="41" spans="1:5" ht="70" x14ac:dyDescent="0.2">
      <c r="A41" s="2" t="s">
        <v>157</v>
      </c>
      <c r="B41" s="2" t="str">
        <f>HYPERLINK("https://motoring.co.za/sunday-tribune/lifestyle/look-for-these-9-red-flags-to-identify-food-that-is-ultra-processed-d963441a-2b00-4094-ae3b-955eeda5c5e2")</f>
        <v>https://motoring.co.za/sunday-tribune/lifestyle/look-for-these-9-red-flags-to-identify-food-that-is-ultra-processed-d963441a-2b00-4094-ae3b-955eeda5c5e2</v>
      </c>
      <c r="C41" s="2" t="s">
        <v>4176</v>
      </c>
      <c r="D41" s="3">
        <v>45294.510416666657</v>
      </c>
      <c r="E41" s="2" t="s">
        <v>159</v>
      </c>
    </row>
    <row r="42" spans="1:5" ht="70" x14ac:dyDescent="0.2">
      <c r="A42" s="2" t="s">
        <v>157</v>
      </c>
      <c r="B42" s="2" t="str">
        <f>HYPERLINK("https://www.iol.co.za/sunday-tribune/lifestyle/look-for-these-9-red-flags-to-identify-food-that-is-ultra-processed-d963441a-2b00-4094-ae3b-955eeda5c5e2")</f>
        <v>https://www.iol.co.za/sunday-tribune/lifestyle/look-for-these-9-red-flags-to-identify-food-that-is-ultra-processed-d963441a-2b00-4094-ae3b-955eeda5c5e2</v>
      </c>
      <c r="C42" s="2" t="s">
        <v>3254</v>
      </c>
      <c r="D42" s="3">
        <v>45294.511840277781</v>
      </c>
      <c r="E42" s="2" t="s">
        <v>159</v>
      </c>
    </row>
    <row r="43" spans="1:5" ht="70" x14ac:dyDescent="0.2">
      <c r="A43" s="2" t="s">
        <v>1865</v>
      </c>
      <c r="B43" s="2" t="str">
        <f>HYPERLINK("https://www.iatropedia.gr/diatrofi/ennea-tips-gia-na-diakrinete-ta-yperepeksergasmena-trofima/177769/")</f>
        <v>https://www.iatropedia.gr/diatrofi/ennea-tips-gia-na-diakrinete-ta-yperepeksergasmena-trofima/177769/</v>
      </c>
      <c r="C43" s="2" t="s">
        <v>3949</v>
      </c>
      <c r="D43" s="3">
        <v>45294.562627314823</v>
      </c>
      <c r="E43" s="2" t="s">
        <v>1867</v>
      </c>
    </row>
    <row r="44" spans="1:5" ht="70" x14ac:dyDescent="0.2">
      <c r="A44" s="2" t="s">
        <v>157</v>
      </c>
      <c r="B44" s="2" t="str">
        <f>HYPERLINK("https://www.spokesman.com/stories/2024/jan/03/look-for-these-9-red-flags-to-identify-food-that-i/")</f>
        <v>https://www.spokesman.com/stories/2024/jan/03/look-for-these-9-red-flags-to-identify-food-that-i/</v>
      </c>
      <c r="C44" s="2" t="s">
        <v>2858</v>
      </c>
      <c r="D44" s="3">
        <v>45294.567789351851</v>
      </c>
      <c r="E44" s="2" t="s">
        <v>450</v>
      </c>
    </row>
    <row r="45" spans="1:5" ht="70" x14ac:dyDescent="0.2">
      <c r="A45" s="2" t="s">
        <v>157</v>
      </c>
      <c r="B45" s="2" t="str">
        <f>HYPERLINK("https://fakazanews.com/2024/01/04/look-for-these-9-red-flags-to-identify-food-that-is-ultra-processed/")</f>
        <v>https://fakazanews.com/2024/01/04/look-for-these-9-red-flags-to-identify-food-that-is-ultra-processed/</v>
      </c>
      <c r="C45" s="2" t="s">
        <v>1266</v>
      </c>
      <c r="D45" s="3">
        <v>45295.378692129627</v>
      </c>
      <c r="E45" s="2" t="s">
        <v>1267</v>
      </c>
    </row>
    <row r="46" spans="1:5" ht="98" x14ac:dyDescent="0.2">
      <c r="A46" s="2" t="s">
        <v>157</v>
      </c>
      <c r="B46" s="2" t="str">
        <f>HYPERLINK("https://www.lovablevibes.co/look-for-these-9-red-flags-to-identify-food-that-is-ultra-processed/")</f>
        <v>https://www.lovablevibes.co/look-for-these-9-red-flags-to-identify-food-that-is-ultra-processed/</v>
      </c>
      <c r="C46" s="2" t="s">
        <v>391</v>
      </c>
      <c r="D46" s="3">
        <v>45295.381469907406</v>
      </c>
      <c r="E46" s="2" t="s">
        <v>392</v>
      </c>
    </row>
    <row r="47" spans="1:5" ht="70" x14ac:dyDescent="0.2">
      <c r="A47" s="2" t="s">
        <v>2762</v>
      </c>
      <c r="B47" s="2" t="str">
        <f>HYPERLINK("https://www.cretalive.gr/ygeia/ennea-mystika-gia-na-diakrinete-ta-yperepexergasmena-trofima")</f>
        <v>https://www.cretalive.gr/ygeia/ennea-mystika-gia-na-diakrinete-ta-yperepexergasmena-trofima</v>
      </c>
      <c r="C47" s="2" t="s">
        <v>2763</v>
      </c>
      <c r="D47" s="3">
        <v>45295.841481481482</v>
      </c>
      <c r="E47" s="2" t="s">
        <v>1867</v>
      </c>
    </row>
    <row r="48" spans="1:5" ht="98" x14ac:dyDescent="0.2">
      <c r="A48" s="2" t="s">
        <v>2762</v>
      </c>
      <c r="B48" s="2" t="str">
        <f>HYPERLINK("https://www.xanthinea.gr/2024/01/ennea-mystika-gia-na-diakrinete-ta-yperepexergasmena-trofima")</f>
        <v>https://www.xanthinea.gr/2024/01/ennea-mystika-gia-na-diakrinete-ta-yperepexergasmena-trofima</v>
      </c>
      <c r="C48" s="2" t="s">
        <v>4008</v>
      </c>
      <c r="D48" s="3">
        <v>45296.102280092593</v>
      </c>
      <c r="E48" s="2" t="s">
        <v>4009</v>
      </c>
    </row>
    <row r="49" spans="1:5" ht="70" x14ac:dyDescent="0.2">
      <c r="A49" s="2" t="s">
        <v>1865</v>
      </c>
      <c r="B49" s="2" t="str">
        <f>HYPERLINK("https://www.karfitsa.gr/health/ennea-tips-gia-na-diakrinete-ta-yperepexergasmena-trofima/")</f>
        <v>https://www.karfitsa.gr/health/ennea-tips-gia-na-diakrinete-ta-yperepexergasmena-trofima/</v>
      </c>
      <c r="C49" s="2" t="s">
        <v>1866</v>
      </c>
      <c r="D49" s="3">
        <v>45296.572916666657</v>
      </c>
      <c r="E49" s="2" t="s">
        <v>1867</v>
      </c>
    </row>
    <row r="50" spans="1:5" ht="70" x14ac:dyDescent="0.2">
      <c r="A50" s="2" t="s">
        <v>3841</v>
      </c>
      <c r="B50" s="2" t="str">
        <f>HYPERLINK("https://tvnoviny.sk/zahranicne/clanok/874423-toto-je-10-najvaecsich-mytov-o-jedle-a-stravovani-podla-renomovanych-odbornikov")</f>
        <v>https://tvnoviny.sk/zahranicne/clanok/874423-toto-je-10-najvaecsich-mytov-o-jedle-a-stravovani-podla-renomovanych-odbornikov</v>
      </c>
      <c r="C50" s="2" t="s">
        <v>3842</v>
      </c>
      <c r="D50" s="3">
        <v>45297</v>
      </c>
      <c r="E50" s="2" t="s">
        <v>3843</v>
      </c>
    </row>
    <row r="51" spans="1:5" ht="70" x14ac:dyDescent="0.2">
      <c r="A51" s="2" t="s">
        <v>3038</v>
      </c>
      <c r="B51" s="2" t="str">
        <f>HYPERLINK("https://www.post-gazette.com/news/health/2024/01/07/Look-for-these-9-red-flags-to-identify-food-that-is-ultra-processed/stories/202401070011")</f>
        <v>https://www.post-gazette.com/news/health/2024/01/07/Look-for-these-9-red-flags-to-identify-food-that-is-ultra-processed/stories/202401070011</v>
      </c>
      <c r="C51" s="2" t="s">
        <v>3037</v>
      </c>
      <c r="D51" s="3">
        <v>45298.215891203698</v>
      </c>
      <c r="E51" s="2" t="s">
        <v>450</v>
      </c>
    </row>
    <row r="52" spans="1:5" ht="70" x14ac:dyDescent="0.2">
      <c r="A52" s="2" t="s">
        <v>2315</v>
      </c>
      <c r="B52" s="2" t="str">
        <f>HYPERLINK("https://seleo.gr/koinonia/ennea-tips-gia-na-diakrinete-ta-yperepexergasmena-trofima/")</f>
        <v>https://seleo.gr/koinonia/ennea-tips-gia-na-diakrinete-ta-yperepexergasmena-trofima/</v>
      </c>
      <c r="C52" s="2" t="s">
        <v>2316</v>
      </c>
      <c r="D52" s="3">
        <v>45298.344224537039</v>
      </c>
      <c r="E52" s="2" t="s">
        <v>1867</v>
      </c>
    </row>
    <row r="53" spans="1:5" ht="70" x14ac:dyDescent="0.2">
      <c r="A53" s="2" t="s">
        <v>1865</v>
      </c>
      <c r="B53" s="2" t="str">
        <f>HYPERLINK("https://www.kefaloniapress.gr/ygeia/article/629226/ennea-tips-gia-na-diakrinete-ta-yperepexergasmena-trofima/")</f>
        <v>https://www.kefaloniapress.gr/ygeia/article/629226/ennea-tips-gia-na-diakrinete-ta-yperepexergasmena-trofima/</v>
      </c>
      <c r="C53" s="2" t="s">
        <v>2416</v>
      </c>
      <c r="D53" s="3">
        <v>45298.375081018523</v>
      </c>
      <c r="E53" s="2" t="s">
        <v>1867</v>
      </c>
    </row>
    <row r="54" spans="1:5" ht="70" x14ac:dyDescent="0.2">
      <c r="A54" s="2" t="s">
        <v>2989</v>
      </c>
      <c r="B54" s="2" t="str">
        <f>HYPERLINK("https://www.stltoday.com/news/local/business/column-will-ozempic-change-the-food-industry-not-yet-but-give-it-time/article_2f936143-6c43-5525-9c3c-d1e1443f0192.html")</f>
        <v>https://www.stltoday.com/news/local/business/column-will-ozempic-change-the-food-industry-not-yet-but-give-it-time/article_2f936143-6c43-5525-9c3c-d1e1443f0192.html</v>
      </c>
      <c r="C54" s="2" t="s">
        <v>2877</v>
      </c>
      <c r="D54" s="3">
        <v>45298.383460648147</v>
      </c>
      <c r="E54" s="2" t="s">
        <v>2990</v>
      </c>
    </row>
    <row r="55" spans="1:5" ht="84" x14ac:dyDescent="0.2">
      <c r="A55" s="2" t="s">
        <v>2500</v>
      </c>
      <c r="B55" s="2" t="str">
        <f>HYPERLINK("https://eldiario.com/2024/01/08/como-identificar-alimentos-ultraprocesados/")</f>
        <v>https://eldiario.com/2024/01/08/como-identificar-alimentos-ultraprocesados/</v>
      </c>
      <c r="C55" s="2" t="s">
        <v>2501</v>
      </c>
      <c r="D55" s="3">
        <v>45299.321608796286</v>
      </c>
      <c r="E55" s="2" t="s">
        <v>2502</v>
      </c>
    </row>
    <row r="56" spans="1:5" ht="56" x14ac:dyDescent="0.2">
      <c r="A56" s="2" t="s">
        <v>3273</v>
      </c>
      <c r="B56" s="2" t="str">
        <f>HYPERLINK("https://www.inquirer.com/politics/philadelphia/beverage-sales-went-down-cities-that-enacted-soda-taxes-philly-saw-biggest-change-20240108.html")</f>
        <v>https://www.inquirer.com/politics/philadelphia/beverage-sales-went-down-cities-that-enacted-soda-taxes-philly-saw-biggest-change-20240108.html</v>
      </c>
      <c r="C56" s="2" t="s">
        <v>3274</v>
      </c>
      <c r="D56" s="3">
        <v>45299.758240740739</v>
      </c>
      <c r="E56" s="2" t="s">
        <v>3275</v>
      </c>
    </row>
    <row r="57" spans="1:5" ht="70" x14ac:dyDescent="0.2">
      <c r="A57" s="2" t="s">
        <v>2098</v>
      </c>
      <c r="B57" s="2" t="str">
        <f>HYPERLINK("https://www.phillytrib.com/news/health/look-for-these-9-red-flags-that-identify-ultra-processed-foods/article_32fad39d-42a6-59bd-b08d-d901fd3c5a60.html")</f>
        <v>https://www.phillytrib.com/news/health/look-for-these-9-red-flags-that-identify-ultra-processed-foods/article_32fad39d-42a6-59bd-b08d-d901fd3c5a60.html</v>
      </c>
      <c r="C57" s="2" t="s">
        <v>2047</v>
      </c>
      <c r="D57" s="3">
        <v>45300</v>
      </c>
      <c r="E57" s="2" t="s">
        <v>450</v>
      </c>
    </row>
    <row r="58" spans="1:5" ht="56" x14ac:dyDescent="0.2">
      <c r="A58" s="2" t="s">
        <v>46</v>
      </c>
      <c r="B58" s="2" t="str">
        <f>HYPERLINK("https://finance.yahoo.com/news/6-food-trends-watch-2024-092500378.html")</f>
        <v>https://finance.yahoo.com/news/6-food-trends-watch-2024-092500378.html</v>
      </c>
      <c r="C58" s="2" t="s">
        <v>3642</v>
      </c>
      <c r="D58" s="3">
        <v>45300.184027777781</v>
      </c>
      <c r="E58" s="2" t="s">
        <v>48</v>
      </c>
    </row>
    <row r="59" spans="1:5" ht="84" x14ac:dyDescent="0.2">
      <c r="A59" s="2" t="s">
        <v>1260</v>
      </c>
      <c r="B59" s="2" t="str">
        <f>HYPERLINK("https://www.newsit.gr/ygeia/5-symvoules-gia-na-epitaxynete-tin-apoleia-varous-meta-ta-40/3590352/")</f>
        <v>https://www.newsit.gr/ygeia/5-symvoules-gia-na-epitaxynete-tin-apoleia-varous-meta-ta-40/3590352/</v>
      </c>
      <c r="C59" s="2" t="s">
        <v>3203</v>
      </c>
      <c r="D59" s="3">
        <v>45300.379108796304</v>
      </c>
      <c r="E59" s="2" t="s">
        <v>2510</v>
      </c>
    </row>
    <row r="60" spans="1:5" ht="56" x14ac:dyDescent="0.2">
      <c r="A60" s="2" t="s">
        <v>46</v>
      </c>
      <c r="B60" s="2" t="str">
        <f>HYPERLINK("https://www.fooddive.com/news/6-food-trends-to-watch-in-2024/703870/")</f>
        <v>https://www.fooddive.com/news/6-food-trends-to-watch-in-2024/703870/</v>
      </c>
      <c r="C60" s="2" t="s">
        <v>2178</v>
      </c>
      <c r="D60" s="3">
        <v>45300.395312499997</v>
      </c>
      <c r="E60" s="2" t="s">
        <v>48</v>
      </c>
    </row>
    <row r="61" spans="1:5" ht="56" x14ac:dyDescent="0.2">
      <c r="A61" s="2" t="s">
        <v>46</v>
      </c>
      <c r="B61" s="2" t="str">
        <f>HYPERLINK("http://yoursbulletin.com/6-food-trends-to-watch-in-2024/")</f>
        <v>http://yoursbulletin.com/6-food-trends-to-watch-in-2024/</v>
      </c>
      <c r="C61" s="2" t="s">
        <v>789</v>
      </c>
      <c r="D61" s="3">
        <v>45300.405694444453</v>
      </c>
      <c r="E61" s="2" t="s">
        <v>48</v>
      </c>
    </row>
    <row r="62" spans="1:5" ht="56" x14ac:dyDescent="0.2">
      <c r="A62" s="2" t="s">
        <v>46</v>
      </c>
      <c r="B62" s="2" t="str">
        <f>HYPERLINK("https://webtimes.uk/6-food-trends-to-watch-in-2024/")</f>
        <v>https://webtimes.uk/6-food-trends-to-watch-in-2024/</v>
      </c>
      <c r="C62" s="2" t="s">
        <v>47</v>
      </c>
      <c r="D62" s="3">
        <v>45300.406307870369</v>
      </c>
      <c r="E62" s="2" t="s">
        <v>48</v>
      </c>
    </row>
    <row r="63" spans="1:5" ht="84" x14ac:dyDescent="0.2">
      <c r="A63" s="2" t="s">
        <v>3940</v>
      </c>
      <c r="B63" s="2" t="str">
        <f>HYPERLINK("https://politic.gr/ygeia/pente-symvoules-gia-na-epitachynete-tin-apoleia-varous-meta-ta-40/")</f>
        <v>https://politic.gr/ygeia/pente-symvoules-gia-na-epitachynete-tin-apoleia-varous-meta-ta-40/</v>
      </c>
      <c r="C63" s="2" t="s">
        <v>3941</v>
      </c>
      <c r="D63" s="3">
        <v>45300.406956018523</v>
      </c>
      <c r="E63" s="2" t="s">
        <v>2566</v>
      </c>
    </row>
    <row r="64" spans="1:5" ht="98" x14ac:dyDescent="0.2">
      <c r="A64" s="2" t="s">
        <v>903</v>
      </c>
      <c r="B64" s="2" t="str">
        <f>HYPERLINK("https://foodbanknews.org/paper-throws-cold-water-on-food-is-medicine/")</f>
        <v>https://foodbanknews.org/paper-throws-cold-water-on-food-is-medicine/</v>
      </c>
      <c r="C64" s="2" t="s">
        <v>904</v>
      </c>
      <c r="D64" s="3">
        <v>45300.895740740743</v>
      </c>
      <c r="E64" s="2" t="s">
        <v>905</v>
      </c>
    </row>
    <row r="65" spans="1:5" ht="70" x14ac:dyDescent="0.2">
      <c r="A65" s="2" t="s">
        <v>1011</v>
      </c>
      <c r="B65" s="2" t="str">
        <f>HYPERLINK("https://www.supermarketguru.com/the-lempert-report/bernie-sanders-big-food/")</f>
        <v>https://www.supermarketguru.com/the-lempert-report/bernie-sanders-big-food/</v>
      </c>
      <c r="C65" s="2" t="s">
        <v>1012</v>
      </c>
      <c r="D65" s="3">
        <v>45301</v>
      </c>
      <c r="E65" s="2" t="s">
        <v>1013</v>
      </c>
    </row>
    <row r="66" spans="1:5" ht="84" x14ac:dyDescent="0.2">
      <c r="A66" s="2" t="s">
        <v>1260</v>
      </c>
      <c r="B66" s="2" t="str">
        <f>HYPERLINK("https://www.patrisnews.com/5-symvoyles-gia-na-epitachynete-tin-apoleia-varoys-meta-ta-40/")</f>
        <v>https://www.patrisnews.com/5-symvoyles-gia-na-epitachynete-tin-apoleia-varoys-meta-ta-40/</v>
      </c>
      <c r="C66" s="2" t="s">
        <v>2509</v>
      </c>
      <c r="D66" s="3">
        <v>45301.021087962959</v>
      </c>
      <c r="E66" s="2" t="s">
        <v>2510</v>
      </c>
    </row>
    <row r="67" spans="1:5" ht="70" x14ac:dyDescent="0.2">
      <c r="A67" s="2" t="s">
        <v>3036</v>
      </c>
      <c r="B67" s="2" t="str">
        <f>HYPERLINK("https://www.post-gazette.com/life/food/2024/01/10/red-flags-processed-food-chain-preservatives-dieting/stories/202401110007")</f>
        <v>https://www.post-gazette.com/life/food/2024/01/10/red-flags-processed-food-chain-preservatives-dieting/stories/202401110007</v>
      </c>
      <c r="C67" s="2" t="s">
        <v>3037</v>
      </c>
      <c r="D67" s="3">
        <v>45301.235509259262</v>
      </c>
      <c r="E67" s="2" t="s">
        <v>450</v>
      </c>
    </row>
    <row r="68" spans="1:5" ht="42" x14ac:dyDescent="0.2">
      <c r="A68" s="2" t="s">
        <v>3636</v>
      </c>
      <c r="B68" s="2" t="str">
        <f>HYPERLINK("https://www.indiatoday.in/lifestyle/food/story/10-nutrition-myths-busted-by-dietitians-2486854-2024-01-10")</f>
        <v>https://www.indiatoday.in/lifestyle/food/story/10-nutrition-myths-busted-by-dietitians-2486854-2024-01-10</v>
      </c>
      <c r="C68" s="2" t="s">
        <v>3637</v>
      </c>
      <c r="D68" s="3">
        <v>45301.296701388892</v>
      </c>
      <c r="E68" s="2" t="s">
        <v>3638</v>
      </c>
    </row>
    <row r="69" spans="1:5" ht="98" x14ac:dyDescent="0.2">
      <c r="A69" s="2" t="s">
        <v>1646</v>
      </c>
      <c r="B69" s="2" t="str">
        <f>HYPERLINK("https://www.pelhamtoday.ca/columns/the-balanced-life/the-balanced-life-want-to-live-to-100-8092422")</f>
        <v>https://www.pelhamtoday.ca/columns/the-balanced-life/the-balanced-life-want-to-live-to-100-8092422</v>
      </c>
      <c r="C69" s="2" t="s">
        <v>1647</v>
      </c>
      <c r="D69" s="3">
        <v>45302.604166666657</v>
      </c>
      <c r="E69" s="2" t="s">
        <v>1648</v>
      </c>
    </row>
    <row r="70" spans="1:5" ht="70" x14ac:dyDescent="0.2">
      <c r="A70" s="2" t="s">
        <v>3129</v>
      </c>
      <c r="B70" s="2" t="str">
        <f>HYPERLINK("https://www.republika.rs/lifestyle/zdravlje/503855/namirnica-koja-skracuje-zivot-za-36-minuta")</f>
        <v>https://www.republika.rs/lifestyle/zdravlje/503855/namirnica-koja-skracuje-zivot-za-36-minuta</v>
      </c>
      <c r="C70" s="2" t="s">
        <v>3130</v>
      </c>
      <c r="D70" s="3">
        <v>45303.1875</v>
      </c>
      <c r="E70" s="2" t="s">
        <v>3131</v>
      </c>
    </row>
    <row r="71" spans="1:5" ht="56" x14ac:dyDescent="0.2">
      <c r="A71" s="2" t="s">
        <v>3674</v>
      </c>
      <c r="B71" s="2" t="str">
        <f>HYPERLINK("https://medium.com/@mahmudsabiu/gliding-the-snackscape-a-journey-through-time-taste-and-health-22fbf47048c5")</f>
        <v>https://medium.com/@mahmudsabiu/gliding-the-snackscape-a-journey-through-time-taste-and-health-22fbf47048c5</v>
      </c>
      <c r="C71" s="2" t="s">
        <v>3669</v>
      </c>
      <c r="D71" s="3">
        <v>45303.284317129634</v>
      </c>
      <c r="E71" s="2" t="s">
        <v>3675</v>
      </c>
    </row>
    <row r="72" spans="1:5" ht="56" x14ac:dyDescent="0.2">
      <c r="A72" s="2" t="s">
        <v>2481</v>
      </c>
      <c r="B72" s="2" t="str">
        <f>HYPERLINK("https://www.cronicadelquindio.com/opinion/opinion/la-alimentacion-huerfana-entre-monstruosos-intereses")</f>
        <v>https://www.cronicadelquindio.com/opinion/opinion/la-alimentacion-huerfana-entre-monstruosos-intereses</v>
      </c>
      <c r="C72" s="2" t="s">
        <v>2482</v>
      </c>
      <c r="D72" s="3">
        <v>45305</v>
      </c>
      <c r="E72" s="2" t="s">
        <v>2483</v>
      </c>
    </row>
    <row r="73" spans="1:5" ht="70" x14ac:dyDescent="0.2">
      <c r="A73" s="2" t="s">
        <v>215</v>
      </c>
      <c r="B73" s="2" t="str">
        <f>HYPERLINK("https://finnoexpert.com/2024/01/16/in-the-ozempic-age-has-craveable-lost-its-selling-power/")</f>
        <v>https://finnoexpert.com/2024/01/16/in-the-ozempic-age-has-craveable-lost-its-selling-power/</v>
      </c>
      <c r="C73" s="2" t="s">
        <v>216</v>
      </c>
      <c r="D73" s="3">
        <v>45307.209710648152</v>
      </c>
      <c r="E73" s="2" t="s">
        <v>217</v>
      </c>
    </row>
    <row r="74" spans="1:5" ht="70" x14ac:dyDescent="0.2">
      <c r="A74" s="2" t="s">
        <v>215</v>
      </c>
      <c r="B74" s="2" t="str">
        <f>HYPERLINK("https://newsdeal.in/food-marketing-ozempic-era-html/")</f>
        <v>https://newsdeal.in/food-marketing-ozempic-era-html/</v>
      </c>
      <c r="C74" s="2" t="s">
        <v>276</v>
      </c>
      <c r="D74" s="3">
        <v>45307.209710648152</v>
      </c>
      <c r="E74" s="2" t="s">
        <v>217</v>
      </c>
    </row>
    <row r="75" spans="1:5" ht="70" x14ac:dyDescent="0.2">
      <c r="A75" s="2" t="s">
        <v>277</v>
      </c>
      <c r="B75" s="2" t="str">
        <f>HYPERLINK("https://entertainment-mag.com/food-marketing-in-the-ozempic-age/")</f>
        <v>https://entertainment-mag.com/food-marketing-in-the-ozempic-age/</v>
      </c>
      <c r="C75" s="2" t="s">
        <v>278</v>
      </c>
      <c r="D75" s="3">
        <v>45307.216284722221</v>
      </c>
      <c r="E75" s="2" t="s">
        <v>217</v>
      </c>
    </row>
    <row r="76" spans="1:5" ht="70" x14ac:dyDescent="0.2">
      <c r="A76" s="2" t="s">
        <v>215</v>
      </c>
      <c r="B76" s="2" t="str">
        <f>HYPERLINK("https://dnyuz.com/2024/01/16/in-the-ozempic-age-has-craveable-lost-its-selling-power/")</f>
        <v>https://dnyuz.com/2024/01/16/in-the-ozempic-age-has-craveable-lost-its-selling-power/</v>
      </c>
      <c r="C76" s="2" t="s">
        <v>2847</v>
      </c>
      <c r="D76" s="3">
        <v>45307.218969907408</v>
      </c>
      <c r="E76" s="2" t="s">
        <v>217</v>
      </c>
    </row>
    <row r="77" spans="1:5" ht="84" x14ac:dyDescent="0.2">
      <c r="A77" s="2" t="s">
        <v>733</v>
      </c>
      <c r="B77" s="2" t="str">
        <f>HYPERLINK("https://lesactualites.news/affaires/le-marketing-alimentaire-a-lere-ozempique/")</f>
        <v>https://lesactualites.news/affaires/le-marketing-alimentaire-a-lere-ozempique/</v>
      </c>
      <c r="C77" s="2" t="s">
        <v>734</v>
      </c>
      <c r="D77" s="3">
        <v>45307.228148148148</v>
      </c>
      <c r="E77" s="2" t="s">
        <v>735</v>
      </c>
    </row>
    <row r="78" spans="1:5" ht="84" x14ac:dyDescent="0.2">
      <c r="A78" s="2" t="s">
        <v>218</v>
      </c>
      <c r="B78" s="2" t="str">
        <f>HYPERLINK("https://www.butterword.com/2024/01/en-la-era-ozempic-ha-perdido-su-poder.html")</f>
        <v>https://www.butterword.com/2024/01/en-la-era-ozempic-ha-perdido-su-poder.html</v>
      </c>
      <c r="C78" s="2" t="s">
        <v>219</v>
      </c>
      <c r="D78" s="3">
        <v>45307.253946759258</v>
      </c>
      <c r="E78" s="2" t="s">
        <v>220</v>
      </c>
    </row>
    <row r="79" spans="1:5" ht="70" x14ac:dyDescent="0.2">
      <c r="A79" s="2" t="s">
        <v>318</v>
      </c>
      <c r="B79" s="2" t="str">
        <f>HYPERLINK("https://popculturely.com/business/in-the-ozempic-age-has-craveable-lost-its-selling-power/")</f>
        <v>https://popculturely.com/business/in-the-ozempic-age-has-craveable-lost-its-selling-power/</v>
      </c>
      <c r="C79" s="2" t="s">
        <v>319</v>
      </c>
      <c r="D79" s="3">
        <v>45307.257384259261</v>
      </c>
      <c r="E79" s="2" t="s">
        <v>320</v>
      </c>
    </row>
    <row r="80" spans="1:5" ht="70" x14ac:dyDescent="0.2">
      <c r="A80" s="2" t="s">
        <v>215</v>
      </c>
      <c r="B80" s="2" t="str">
        <f>HYPERLINK("https://reportwire.org/in-the-ozempic-age-has-craveable-lost-its-selling-power/")</f>
        <v>https://reportwire.org/in-the-ozempic-age-has-craveable-lost-its-selling-power/</v>
      </c>
      <c r="C80" s="2" t="s">
        <v>710</v>
      </c>
      <c r="D80" s="3">
        <v>45307.275590277779</v>
      </c>
      <c r="E80" s="2" t="s">
        <v>217</v>
      </c>
    </row>
    <row r="81" spans="1:5" ht="84" x14ac:dyDescent="0.2">
      <c r="A81" s="2" t="s">
        <v>756</v>
      </c>
      <c r="B81" s="2" t="str">
        <f>HYPERLINK("https://espanol.news/el-marketing-de-alimentos-en-la-era-ozempica/")</f>
        <v>https://espanol.news/el-marketing-de-alimentos-en-la-era-ozempica/</v>
      </c>
      <c r="C81" s="2" t="s">
        <v>747</v>
      </c>
      <c r="D81" s="3">
        <v>45307.281631944446</v>
      </c>
      <c r="E81" s="2" t="s">
        <v>757</v>
      </c>
    </row>
    <row r="82" spans="1:5" ht="84" x14ac:dyDescent="0.2">
      <c r="A82" s="2" t="s">
        <v>251</v>
      </c>
      <c r="B82" s="2" t="str">
        <f>HYPERLINK("https://germanic.news/lebensmittelmarketing-im-ozempischen-zeitalter/")</f>
        <v>https://germanic.news/lebensmittelmarketing-im-ozempischen-zeitalter/</v>
      </c>
      <c r="C82" s="2" t="s">
        <v>243</v>
      </c>
      <c r="D82" s="3">
        <v>45307.293090277781</v>
      </c>
      <c r="E82" s="2" t="s">
        <v>252</v>
      </c>
    </row>
    <row r="83" spans="1:5" ht="56" x14ac:dyDescent="0.2">
      <c r="A83" s="2" t="s">
        <v>321</v>
      </c>
      <c r="B83" s="2" t="str">
        <f>HYPERLINK("https://dnyuz.com/2024/01/16/the-big-buzz-at-davos-a-i-ukraine-china-and-the-middle-east/")</f>
        <v>https://dnyuz.com/2024/01/16/the-big-buzz-at-davos-a-i-ukraine-china-and-the-middle-east/</v>
      </c>
      <c r="C83" s="2" t="s">
        <v>2847</v>
      </c>
      <c r="D83" s="3">
        <v>45307.357187499998</v>
      </c>
      <c r="E83" s="2" t="s">
        <v>2883</v>
      </c>
    </row>
    <row r="84" spans="1:5" ht="70" x14ac:dyDescent="0.2">
      <c r="A84" s="2" t="s">
        <v>215</v>
      </c>
      <c r="B84" s="2" t="str">
        <f>HYPERLINK("https://www.newedgetimes.com/in-the-ozempic-age-has-craveable-lost-its-selling-power/")</f>
        <v>https://www.newedgetimes.com/in-the-ozempic-age-has-craveable-lost-its-selling-power/</v>
      </c>
      <c r="C84" s="2" t="s">
        <v>4068</v>
      </c>
      <c r="D84" s="3">
        <v>45307.381886574083</v>
      </c>
      <c r="E84" s="2" t="s">
        <v>217</v>
      </c>
    </row>
    <row r="85" spans="1:5" ht="56" x14ac:dyDescent="0.2">
      <c r="A85" s="2" t="s">
        <v>3720</v>
      </c>
      <c r="B85" s="2" t="str">
        <f>HYPERLINK("https://www.nytimes.com/2024/01/16/business/dealbook/buzz-davos-ai-ukraine-china-gaza.html")</f>
        <v>https://www.nytimes.com/2024/01/16/business/dealbook/buzz-davos-ai-ukraine-china-gaza.html</v>
      </c>
      <c r="C85" s="2" t="s">
        <v>3717</v>
      </c>
      <c r="D85" s="3">
        <v>45307.430694444447</v>
      </c>
      <c r="E85" s="2" t="s">
        <v>322</v>
      </c>
    </row>
    <row r="86" spans="1:5" ht="56" x14ac:dyDescent="0.2">
      <c r="A86" s="2" t="s">
        <v>321</v>
      </c>
      <c r="B86" s="2" t="str">
        <f>HYPERLINK("https://popculturely.com/business/the-big-buzz-at-davos-a-i-ukraine-china-and-the-middle-east/")</f>
        <v>https://popculturely.com/business/the-big-buzz-at-davos-a-i-ukraine-china-and-the-middle-east/</v>
      </c>
      <c r="C86" s="2" t="s">
        <v>319</v>
      </c>
      <c r="D86" s="3">
        <v>45307.587118055562</v>
      </c>
      <c r="E86" s="2" t="s">
        <v>322</v>
      </c>
    </row>
    <row r="87" spans="1:5" ht="70" x14ac:dyDescent="0.2">
      <c r="A87" s="2" t="s">
        <v>360</v>
      </c>
      <c r="B87" s="2" t="str">
        <f>HYPERLINK("https://www.sevendaysvt.com/food-drink/new-vermont-vegan-food-producers-aim-to-enhance-wellness-of-people-and-the-planet-39980918")</f>
        <v>https://www.sevendaysvt.com/food-drink/new-vermont-vegan-food-producers-aim-to-enhance-wellness-of-people-and-the-planet-39980918</v>
      </c>
      <c r="C87" s="2" t="s">
        <v>2479</v>
      </c>
      <c r="D87" s="3">
        <v>45307.603506944448</v>
      </c>
      <c r="E87" s="2" t="s">
        <v>2480</v>
      </c>
    </row>
    <row r="88" spans="1:5" ht="84" x14ac:dyDescent="0.2">
      <c r="A88" s="2" t="s">
        <v>26</v>
      </c>
      <c r="B88" s="2" t="str">
        <f>HYPERLINK("https://www.dailycharotar.com/2024/01/artificial-intelligence-ukraine-china.html")</f>
        <v>https://www.dailycharotar.com/2024/01/artificial-intelligence-ukraine-china.html</v>
      </c>
      <c r="C88" s="2" t="s">
        <v>27</v>
      </c>
      <c r="D88" s="3">
        <v>45307.634027777778</v>
      </c>
      <c r="E88" s="2" t="s">
        <v>28</v>
      </c>
    </row>
    <row r="89" spans="1:5" ht="70" x14ac:dyDescent="0.2">
      <c r="A89" s="2" t="s">
        <v>1176</v>
      </c>
      <c r="B89" s="2" t="str">
        <f>HYPERLINK("https://www.nieuwsvoordietisten.nl/netflix-serie-over-tweelingstudie/")</f>
        <v>https://www.nieuwsvoordietisten.nl/netflix-serie-over-tweelingstudie/</v>
      </c>
      <c r="C89" s="2" t="s">
        <v>1177</v>
      </c>
      <c r="D89" s="3">
        <v>45307.777280092603</v>
      </c>
      <c r="E89" s="2" t="s">
        <v>1178</v>
      </c>
    </row>
    <row r="90" spans="1:5" ht="70" x14ac:dyDescent="0.2">
      <c r="A90" s="2" t="s">
        <v>277</v>
      </c>
      <c r="B90" s="2" t="str">
        <f>HYPERLINK("https://global.bihardainik.com/2024/01/17/food-marketing-in-the-ozempic-age/")</f>
        <v>https://global.bihardainik.com/2024/01/17/food-marketing-in-the-ozempic-age/</v>
      </c>
      <c r="C90" s="2" t="s">
        <v>3891</v>
      </c>
      <c r="D90" s="3">
        <v>45307.812696759262</v>
      </c>
      <c r="E90" s="2" t="s">
        <v>217</v>
      </c>
    </row>
    <row r="91" spans="1:5" ht="70" x14ac:dyDescent="0.2">
      <c r="A91" s="2" t="s">
        <v>277</v>
      </c>
      <c r="B91" s="2" t="str">
        <f>HYPERLINK("https://dicomogiornale.com/food-marketing-in-the-ozempic-age/")</f>
        <v>https://dicomogiornale.com/food-marketing-in-the-ozempic-age/</v>
      </c>
      <c r="C91" s="2" t="s">
        <v>4007</v>
      </c>
      <c r="D91" s="3">
        <v>45307.844953703701</v>
      </c>
      <c r="E91" s="2" t="s">
        <v>217</v>
      </c>
    </row>
    <row r="92" spans="1:5" ht="70" x14ac:dyDescent="0.2">
      <c r="A92" s="2" t="s">
        <v>277</v>
      </c>
      <c r="B92" s="2" t="str">
        <f>HYPERLINK("https://madrastribune.com/2024/01/17/food-marketing-in-the-ozempic-age/")</f>
        <v>https://madrastribune.com/2024/01/17/food-marketing-in-the-ozempic-age/</v>
      </c>
      <c r="C92" s="2" t="s">
        <v>479</v>
      </c>
      <c r="D92" s="3">
        <v>45307.87704861111</v>
      </c>
      <c r="E92" s="2" t="s">
        <v>217</v>
      </c>
    </row>
    <row r="93" spans="1:5" ht="56" x14ac:dyDescent="0.2">
      <c r="A93" s="2" t="s">
        <v>155</v>
      </c>
      <c r="B93" s="2" t="str">
        <f>HYPERLINK("http://www.allusanewshub.com/2024/01/17/no-you-dont-need-to-be-drinking-raw-milk/")</f>
        <v>http://www.allusanewshub.com/2024/01/17/no-you-dont-need-to-be-drinking-raw-milk/</v>
      </c>
      <c r="C93" s="2" t="s">
        <v>705</v>
      </c>
      <c r="D93" s="3">
        <v>45308</v>
      </c>
      <c r="E93" s="2" t="s">
        <v>706</v>
      </c>
    </row>
    <row r="94" spans="1:5" ht="70" x14ac:dyDescent="0.2">
      <c r="A94" s="2" t="s">
        <v>360</v>
      </c>
      <c r="B94" s="2" t="str">
        <f>HYPERLINK("https://newspub.live/northeast/vermont/new-vermont-vegan-food-producers-aim-to-enhance-wellness-of-people-and-the-planet/")</f>
        <v>https://newspub.live/northeast/vermont/new-vermont-vegan-food-producers-aim-to-enhance-wellness-of-people-and-the-planet/</v>
      </c>
      <c r="C94" s="2" t="s">
        <v>361</v>
      </c>
      <c r="D94" s="3">
        <v>45308.247812499998</v>
      </c>
      <c r="E94" s="2" t="s">
        <v>362</v>
      </c>
    </row>
    <row r="95" spans="1:5" ht="56" x14ac:dyDescent="0.2">
      <c r="A95" s="2" t="s">
        <v>155</v>
      </c>
      <c r="B95" s="2" t="str">
        <f>HYPERLINK("https://www.inkl.com/news/no-you-don-t-need-to-be-drinking-raw-milk")</f>
        <v>https://www.inkl.com/news/no-you-don-t-need-to-be-drinking-raw-milk</v>
      </c>
      <c r="C95" s="2" t="s">
        <v>2569</v>
      </c>
      <c r="D95" s="3">
        <v>45308.607164351852</v>
      </c>
      <c r="E95" s="2" t="s">
        <v>2573</v>
      </c>
    </row>
    <row r="96" spans="1:5" ht="56" x14ac:dyDescent="0.2">
      <c r="A96" s="2" t="s">
        <v>155</v>
      </c>
      <c r="B96" s="2" t="str">
        <f>HYPERLINK("https://www.theguardian.com/wellness/2024/jan/17/is-raw-milk-trend-good-bad-for-you-tiktok")</f>
        <v>https://www.theguardian.com/wellness/2024/jan/17/is-raw-milk-trend-good-bad-for-you-tiktok</v>
      </c>
      <c r="C96" s="2" t="s">
        <v>3686</v>
      </c>
      <c r="D96" s="3">
        <v>45308.610138888893</v>
      </c>
      <c r="E96" s="2" t="s">
        <v>706</v>
      </c>
    </row>
    <row r="97" spans="1:5" ht="70" x14ac:dyDescent="0.2">
      <c r="A97" s="2" t="s">
        <v>155</v>
      </c>
      <c r="B97" s="2" t="str">
        <f>HYPERLINK("https://beatlyzer.com/no-you-don-t-need-to-be-drinking-raw-milk-829228.html")</f>
        <v>https://beatlyzer.com/no-you-don-t-need-to-be-drinking-raw-milk-829228.html</v>
      </c>
      <c r="C97" s="2" t="s">
        <v>84</v>
      </c>
      <c r="D97" s="3">
        <v>45308.617291666669</v>
      </c>
      <c r="E97" s="2" t="s">
        <v>156</v>
      </c>
    </row>
    <row r="98" spans="1:5" ht="98" x14ac:dyDescent="0.2">
      <c r="A98" s="2" t="s">
        <v>242</v>
      </c>
      <c r="B98" s="2" t="str">
        <f>HYPERLINK("https://germanic.news/nein-sie-mussen-keine-rohmilch-trinken-naja-eigentlich/")</f>
        <v>https://germanic.news/nein-sie-mussen-keine-rohmilch-trinken-naja-eigentlich/</v>
      </c>
      <c r="C98" s="2" t="s">
        <v>243</v>
      </c>
      <c r="D98" s="3">
        <v>45308.619340277779</v>
      </c>
      <c r="E98" s="2" t="s">
        <v>244</v>
      </c>
    </row>
    <row r="99" spans="1:5" ht="70" x14ac:dyDescent="0.2">
      <c r="A99" s="2" t="s">
        <v>1460</v>
      </c>
      <c r="B99" s="2" t="str">
        <f>HYPERLINK("https://bnnbreaking.com/bnn-newsroom/raw-milk-trend-fueled-by-social-media-a-health-boon-or-risk/")</f>
        <v>https://bnnbreaking.com/bnn-newsroom/raw-milk-trend-fueled-by-social-media-a-health-boon-or-risk/</v>
      </c>
      <c r="C99" s="2" t="s">
        <v>1461</v>
      </c>
      <c r="D99" s="3">
        <v>45308.653136574067</v>
      </c>
      <c r="E99" s="2" t="s">
        <v>1462</v>
      </c>
    </row>
    <row r="100" spans="1:5" ht="98" x14ac:dyDescent="0.2">
      <c r="A100" s="2" t="s">
        <v>3692</v>
      </c>
      <c r="B100" s="2" t="str">
        <f>HYPERLINK("https://es-us.vida-estilo.yahoo.com/antojo-perdi%C3%B3-poder-ventas-ozempic-204318032.html")</f>
        <v>https://es-us.vida-estilo.yahoo.com/antojo-perdi%C3%B3-poder-ventas-ozempic-204318032.html</v>
      </c>
      <c r="C100" s="2" t="s">
        <v>3728</v>
      </c>
      <c r="D100" s="3">
        <v>45308.655069444438</v>
      </c>
      <c r="E100" s="2" t="s">
        <v>3737</v>
      </c>
    </row>
    <row r="101" spans="1:5" ht="84" x14ac:dyDescent="0.2">
      <c r="A101" s="2" t="s">
        <v>3692</v>
      </c>
      <c r="B101" s="2" t="str">
        <f>HYPERLINK("https://www.infobae.com/america/the-new-york-times/2024/01/17/el-antojo-perdio-su-poder-de-ventas-en-la-era-del-ozempic/")</f>
        <v>https://www.infobae.com/america/the-new-york-times/2024/01/17/el-antojo-perdio-su-poder-de-ventas-en-la-era-del-ozempic/</v>
      </c>
      <c r="C101" s="2" t="s">
        <v>3689</v>
      </c>
      <c r="D101" s="3">
        <v>45308.659571759257</v>
      </c>
      <c r="E101" s="2" t="s">
        <v>3693</v>
      </c>
    </row>
    <row r="102" spans="1:5" ht="168" x14ac:dyDescent="0.2">
      <c r="A102" s="2" t="s">
        <v>738</v>
      </c>
      <c r="B102" s="2" t="str">
        <f>HYPERLINK("https://lesactualites.news/sante/non-vous-navez-pas-besoin-de-boire-du-lait-cru-eh-bien-en-fait/")</f>
        <v>https://lesactualites.news/sante/non-vous-navez-pas-besoin-de-boire-du-lait-cru-eh-bien-en-fait/</v>
      </c>
      <c r="C102" s="2" t="s">
        <v>734</v>
      </c>
      <c r="D102" s="3">
        <v>45308.69908564815</v>
      </c>
      <c r="E102" s="2" t="s">
        <v>739</v>
      </c>
    </row>
    <row r="103" spans="1:5" ht="98" x14ac:dyDescent="0.2">
      <c r="A103" s="2" t="s">
        <v>764</v>
      </c>
      <c r="B103" s="2" t="str">
        <f>HYPERLINK("https://espanol.news/no-no-es-necesario-que-bebas-leche-cruda-bueno-en-realidad/")</f>
        <v>https://espanol.news/no-no-es-necesario-que-bebas-leche-cruda-bueno-en-realidad/</v>
      </c>
      <c r="C103" s="2" t="s">
        <v>747</v>
      </c>
      <c r="D103" s="3">
        <v>45309.104479166657</v>
      </c>
      <c r="E103" s="2" t="s">
        <v>765</v>
      </c>
    </row>
    <row r="104" spans="1:5" ht="70" x14ac:dyDescent="0.2">
      <c r="A104" s="2" t="s">
        <v>118</v>
      </c>
      <c r="B104" s="2" t="str">
        <f>HYPERLINK("https://metajaunnews.com/bacterial-contamination-in-chicken-should-you-be-concerned/")</f>
        <v>https://metajaunnews.com/bacterial-contamination-in-chicken-should-you-be-concerned/</v>
      </c>
      <c r="C104" s="2" t="s">
        <v>40</v>
      </c>
      <c r="D104" s="3">
        <v>45309.239872685182</v>
      </c>
      <c r="E104" s="2" t="s">
        <v>119</v>
      </c>
    </row>
    <row r="105" spans="1:5" ht="70" x14ac:dyDescent="0.2">
      <c r="A105" s="2" t="s">
        <v>2621</v>
      </c>
      <c r="B105" s="2" t="str">
        <f>HYPERLINK("https://nz.news.yahoo.com/chicken-dinner-could-contaminated-concerned-104525992.html")</f>
        <v>https://nz.news.yahoo.com/chicken-dinner-could-contaminated-concerned-104525992.html</v>
      </c>
      <c r="C105" s="2" t="s">
        <v>2518</v>
      </c>
      <c r="D105" s="3">
        <v>45309.239872685182</v>
      </c>
      <c r="E105" s="2" t="s">
        <v>2622</v>
      </c>
    </row>
    <row r="106" spans="1:5" ht="70" x14ac:dyDescent="0.2">
      <c r="A106" s="2" t="s">
        <v>2621</v>
      </c>
      <c r="B106" s="2" t="str">
        <f>HYPERLINK("https://news.yahoo.com/chicken-dinner-could-contaminated-concerned-104525992.html")</f>
        <v>https://news.yahoo.com/chicken-dinner-could-contaminated-concerned-104525992.html</v>
      </c>
      <c r="C106" s="2" t="s">
        <v>3650</v>
      </c>
      <c r="D106" s="3">
        <v>45309.246921296297</v>
      </c>
      <c r="E106" s="2" t="s">
        <v>2622</v>
      </c>
    </row>
    <row r="107" spans="1:5" ht="70" x14ac:dyDescent="0.2">
      <c r="A107" s="2" t="s">
        <v>2621</v>
      </c>
      <c r="B107" s="2" t="str">
        <f>HYPERLINK("https://ca.news.yahoo.com/chicken-dinner-could-contaminated-concerned-104525992.html")</f>
        <v>https://ca.news.yahoo.com/chicken-dinner-could-contaminated-concerned-104525992.html</v>
      </c>
      <c r="C107" s="2" t="s">
        <v>3097</v>
      </c>
      <c r="D107" s="3">
        <v>45309.24695601852</v>
      </c>
      <c r="E107" s="2" t="s">
        <v>2622</v>
      </c>
    </row>
    <row r="108" spans="1:5" ht="70" x14ac:dyDescent="0.2">
      <c r="A108" s="2" t="s">
        <v>2621</v>
      </c>
      <c r="B108" s="2" t="str">
        <f>HYPERLINK("https://www.huffpost.com/entry/chicken-contamination-salmonella-safety_l_65a16301e4b07bd6950c9b8f")</f>
        <v>https://www.huffpost.com/entry/chicken-contamination-salmonella-safety_l_65a16301e4b07bd6950c9b8f</v>
      </c>
      <c r="C108" s="2" t="s">
        <v>3521</v>
      </c>
      <c r="D108" s="3">
        <v>45309.251354166663</v>
      </c>
      <c r="E108" s="2" t="s">
        <v>119</v>
      </c>
    </row>
    <row r="109" spans="1:5" ht="70" x14ac:dyDescent="0.2">
      <c r="A109" s="2" t="s">
        <v>2738</v>
      </c>
      <c r="B109" s="2" t="str">
        <f>HYPERLINK("https://malaysia.news.yahoo.com/chicken-dinner-could-contaminated-concerned-104525992.html")</f>
        <v>https://malaysia.news.yahoo.com/chicken-dinner-could-contaminated-concerned-104525992.html</v>
      </c>
      <c r="C109" s="2" t="s">
        <v>2674</v>
      </c>
      <c r="D109" s="3">
        <v>45309.297500000001</v>
      </c>
      <c r="E109" s="2" t="s">
        <v>2622</v>
      </c>
    </row>
    <row r="110" spans="1:5" ht="70" x14ac:dyDescent="0.2">
      <c r="A110" s="2" t="s">
        <v>363</v>
      </c>
      <c r="B110" s="2" t="str">
        <f>HYPERLINK("https://newspub.live/northeast/vermont/binghamton-bearcats-vs-vermont-catamounts-how-to-watch-schedule-live-stream-info-start-time-tv-channel/")</f>
        <v>https://newspub.live/northeast/vermont/binghamton-bearcats-vs-vermont-catamounts-how-to-watch-schedule-live-stream-info-start-time-tv-channel/</v>
      </c>
      <c r="C110" s="2" t="s">
        <v>361</v>
      </c>
      <c r="D110" s="3">
        <v>45309.361967592587</v>
      </c>
      <c r="E110" s="2" t="s">
        <v>362</v>
      </c>
    </row>
    <row r="111" spans="1:5" ht="70" x14ac:dyDescent="0.2">
      <c r="A111" s="2" t="s">
        <v>3537</v>
      </c>
      <c r="B111" s="2" t="str">
        <f>HYPERLINK("https://www.milliyet.com.tr/dunya/endise-yaratan-cig-sut-modasi-7067360")</f>
        <v>https://www.milliyet.com.tr/dunya/endise-yaratan-cig-sut-modasi-7067360</v>
      </c>
      <c r="C111" s="2" t="s">
        <v>3538</v>
      </c>
      <c r="D111" s="3">
        <v>45311.95888888889</v>
      </c>
      <c r="E111" s="2" t="s">
        <v>3307</v>
      </c>
    </row>
    <row r="112" spans="1:5" ht="70" x14ac:dyDescent="0.2">
      <c r="A112" s="2" t="s">
        <v>3467</v>
      </c>
      <c r="B112" s="2" t="str">
        <f>HYPERLINK("https://onedio.com/haber/sosyal-medyayi-kasip-kavuran-yeni-tehlike-cig-sut-1199445")</f>
        <v>https://onedio.com/haber/sosyal-medyayi-kasip-kavuran-yeni-tehlike-cig-sut-1199445</v>
      </c>
      <c r="C112" s="2" t="s">
        <v>3468</v>
      </c>
      <c r="D112" s="3">
        <v>45312.024560185193</v>
      </c>
      <c r="E112" s="2" t="s">
        <v>3395</v>
      </c>
    </row>
    <row r="113" spans="1:5" ht="70" x14ac:dyDescent="0.2">
      <c r="A113" s="2" t="s">
        <v>2535</v>
      </c>
      <c r="B113" s="2" t="str">
        <f>HYPERLINK("https://www.egehaber.com/sosyal-medyada-cig-gibi-buyuyen-tehlike-cig-sut-icme-cilginligi-620057/")</f>
        <v>https://www.egehaber.com/sosyal-medyada-cig-gibi-buyuyen-tehlike-cig-sut-icme-cilginligi-620057/</v>
      </c>
      <c r="C113" s="2" t="s">
        <v>2536</v>
      </c>
      <c r="D113" s="3">
        <v>45312.179212962961</v>
      </c>
      <c r="E113" s="2" t="s">
        <v>2537</v>
      </c>
    </row>
    <row r="114" spans="1:5" ht="70" x14ac:dyDescent="0.2">
      <c r="A114" s="2" t="s">
        <v>3393</v>
      </c>
      <c r="B114" s="2" t="str">
        <f>HYPERLINK("https://halktv.com.tr/yasam/tiktok-akimi-uzmanlari-ayaga-kaldirdi-cig-cig-iciyorlar-799613h")</f>
        <v>https://halktv.com.tr/yasam/tiktok-akimi-uzmanlari-ayaga-kaldirdi-cig-cig-iciyorlar-799613h</v>
      </c>
      <c r="C114" s="2" t="s">
        <v>3394</v>
      </c>
      <c r="D114" s="3">
        <v>45312.180428240739</v>
      </c>
      <c r="E114" s="2" t="s">
        <v>3395</v>
      </c>
    </row>
    <row r="115" spans="1:5" ht="84" x14ac:dyDescent="0.2">
      <c r="A115" s="2" t="s">
        <v>2283</v>
      </c>
      <c r="B115" s="2" t="str">
        <f>HYPERLINK("https://www.haberlisin.com/haber/18965385/cig-sut-icmenin-zararlari-nedir-cig-sut-neden-icilmez-sosyal-medyada-viral-olan-cig-sut-icme-akimi")</f>
        <v>https://www.haberlisin.com/haber/18965385/cig-sut-icmenin-zararlari-nedir-cig-sut-neden-icilmez-sosyal-medyada-viral-olan-cig-sut-icme-akimi</v>
      </c>
      <c r="C115" s="2" t="s">
        <v>2284</v>
      </c>
      <c r="D115" s="3">
        <v>45312.212337962963</v>
      </c>
      <c r="E115" s="2" t="s">
        <v>2076</v>
      </c>
    </row>
    <row r="116" spans="1:5" ht="84" x14ac:dyDescent="0.2">
      <c r="A116" s="2" t="s">
        <v>3812</v>
      </c>
      <c r="B116" s="2" t="str">
        <f>HYPERLINK("https://www.inanisgazetesi.com/haber/18966544/olume-davetiye-cikariyorlar-cig-cig-iciyorlar")</f>
        <v>https://www.inanisgazetesi.com/haber/18966544/olume-davetiye-cikariyorlar-cig-cig-iciyorlar</v>
      </c>
      <c r="C116" s="2" t="s">
        <v>3813</v>
      </c>
      <c r="D116" s="3">
        <v>45312.287187499998</v>
      </c>
      <c r="E116" s="2" t="s">
        <v>2076</v>
      </c>
    </row>
    <row r="117" spans="1:5" ht="70" x14ac:dyDescent="0.2">
      <c r="A117" s="2" t="s">
        <v>3393</v>
      </c>
      <c r="B117" s="2" t="str">
        <f>HYPERLINK("https://tur.az24saat.org/2024/01/21/tiktok-akimi-uzmanlari-ayaga-kaldirdi-cig-cig-iciyorlar/")</f>
        <v>https://tur.az24saat.org/2024/01/21/tiktok-akimi-uzmanlari-ayaga-kaldirdi-cig-cig-iciyorlar/</v>
      </c>
      <c r="C117" s="2" t="s">
        <v>3844</v>
      </c>
      <c r="D117" s="3">
        <v>45312.379629629628</v>
      </c>
      <c r="E117" s="2" t="s">
        <v>3395</v>
      </c>
    </row>
    <row r="118" spans="1:5" ht="98" x14ac:dyDescent="0.2">
      <c r="A118" s="2" t="s">
        <v>2958</v>
      </c>
      <c r="B118" s="2" t="str">
        <f>HYPERLINK("https://www.ivoox.com/en/dr-john-poothullill-our-8220-eat-more-8221-culture-discussed-audios-mp3_rf_122997675_1.html")</f>
        <v>https://www.ivoox.com/en/dr-john-poothullill-our-8220-eat-more-8221-culture-discussed-audios-mp3_rf_122997675_1.html</v>
      </c>
      <c r="C118" s="2" t="s">
        <v>2956</v>
      </c>
      <c r="D118" s="3">
        <v>45313</v>
      </c>
      <c r="E118" s="2" t="s">
        <v>2959</v>
      </c>
    </row>
    <row r="119" spans="1:5" ht="70" x14ac:dyDescent="0.2">
      <c r="A119" s="2" t="s">
        <v>3305</v>
      </c>
      <c r="B119" s="2" t="str">
        <f>HYPERLINK("https://t24.com.tr/foto-haber/tik-tok-taki-cig-sut-icme-akimina-uzmandan-uyari-brusella-ve-salmonella-gibi-zararli-mikroplari-tasiyabilir,28622")</f>
        <v>https://t24.com.tr/foto-haber/tik-tok-taki-cig-sut-icme-akimina-uzmandan-uyari-brusella-ve-salmonella-gibi-zararli-mikroplari-tasiyabilir,28622</v>
      </c>
      <c r="C119" s="2" t="s">
        <v>3306</v>
      </c>
      <c r="D119" s="3">
        <v>45313.198391203703</v>
      </c>
      <c r="E119" s="2" t="s">
        <v>3307</v>
      </c>
    </row>
    <row r="120" spans="1:5" ht="84" x14ac:dyDescent="0.2">
      <c r="A120" s="2" t="s">
        <v>1260</v>
      </c>
      <c r="B120" s="2" t="str">
        <f>HYPERLINK("https://www.flowmagazine.gr/5_symvoules_gia_na_epitaxynete_thn_apoleia_varous/")</f>
        <v>https://www.flowmagazine.gr/5_symvoules_gia_na_epitaxynete_thn_apoleia_varous/</v>
      </c>
      <c r="C120" s="2" t="s">
        <v>1261</v>
      </c>
      <c r="D120" s="3">
        <v>45313.278263888889</v>
      </c>
      <c r="E120" s="2" t="s">
        <v>1262</v>
      </c>
    </row>
    <row r="121" spans="1:5" ht="56" x14ac:dyDescent="0.2">
      <c r="A121" s="2" t="s">
        <v>273</v>
      </c>
      <c r="B121" s="2" t="str">
        <f>HYPERLINK("https://usadailytimes.com/2024/01/22/our-eat-more-culture-discussed-with-dr-marion-nestle/")</f>
        <v>https://usadailytimes.com/2024/01/22/our-eat-more-culture-discussed-with-dr-marion-nestle/</v>
      </c>
      <c r="C121" s="2" t="s">
        <v>274</v>
      </c>
      <c r="D121" s="3">
        <v>45313.534490740742</v>
      </c>
      <c r="E121" s="2" t="s">
        <v>275</v>
      </c>
    </row>
    <row r="122" spans="1:5" ht="84" x14ac:dyDescent="0.2">
      <c r="A122" s="2" t="s">
        <v>4107</v>
      </c>
      <c r="B122" s="2" t="str">
        <f>HYPERLINK("https://www.yasemin.com/saglik/haber/3003593-uzmanlari-ayaga-kaldiran-cig-sut-akimi-cig-sut-icmenin-zararlari-nedir-cig-sut-neden-icilmez")</f>
        <v>https://www.yasemin.com/saglik/haber/3003593-uzmanlari-ayaga-kaldiran-cig-sut-akimi-cig-sut-icmenin-zararlari-nedir-cig-sut-neden-icilmez</v>
      </c>
      <c r="C122" s="2" t="s">
        <v>4108</v>
      </c>
      <c r="D122" s="3">
        <v>45314.157638888893</v>
      </c>
      <c r="E122" s="2" t="s">
        <v>2076</v>
      </c>
    </row>
    <row r="123" spans="1:5" ht="70" x14ac:dyDescent="0.2">
      <c r="A123" s="2" t="s">
        <v>1966</v>
      </c>
      <c r="B123" s="2" t="str">
        <f>HYPERLINK("https://agfundernews.com/from-glp-1-companion-foods-to-natures-ozempic-what-the-new-breed-of-weight-loss-drugs-means-for-the-food-industry")</f>
        <v>https://agfundernews.com/from-glp-1-companion-foods-to-natures-ozempic-what-the-new-breed-of-weight-loss-drugs-means-for-the-food-industry</v>
      </c>
      <c r="C123" s="2" t="s">
        <v>1964</v>
      </c>
      <c r="D123" s="3">
        <v>45314.56863425926</v>
      </c>
      <c r="E123" s="2" t="s">
        <v>1967</v>
      </c>
    </row>
    <row r="124" spans="1:5" ht="84" x14ac:dyDescent="0.2">
      <c r="A124" s="2" t="s">
        <v>1123</v>
      </c>
      <c r="B124" s="2" t="str">
        <f>HYPERLINK("https://www.foodnewslatam.com/productos/64-procesos-envases/14589-%C2%BFqu%C3%A9-pasa-con-la-industria-del-antojo-en-la-era-de-ozempic.html")</f>
        <v>https://www.foodnewslatam.com/productos/64-procesos-envases/14589-%C2%BFqu%C3%A9-pasa-con-la-industria-del-antojo-en-la-era-de-ozempic.html</v>
      </c>
      <c r="C124" s="2" t="s">
        <v>1124</v>
      </c>
      <c r="D124" s="3">
        <v>45314.917199074072</v>
      </c>
      <c r="E124" s="2" t="s">
        <v>1125</v>
      </c>
    </row>
    <row r="125" spans="1:5" ht="70" x14ac:dyDescent="0.2">
      <c r="A125" s="2" t="s">
        <v>1014</v>
      </c>
      <c r="B125" s="2" t="str">
        <f>HYPERLINK("https://www.supermarketguru.com/the-lempert-report/the-age-of-ozempic/")</f>
        <v>https://www.supermarketguru.com/the-lempert-report/the-age-of-ozempic/</v>
      </c>
      <c r="C125" s="2" t="s">
        <v>1012</v>
      </c>
      <c r="D125" s="3">
        <v>45315</v>
      </c>
      <c r="E125" s="2" t="s">
        <v>1015</v>
      </c>
    </row>
    <row r="126" spans="1:5" ht="84" x14ac:dyDescent="0.2">
      <c r="A126" s="2" t="s">
        <v>2074</v>
      </c>
      <c r="B126" s="2" t="str">
        <f>HYPERLINK("https://www.seydisehirhaber.com/d/51134/cig-sut-icmenin-zararlari-nedir-cig-sut-neden-icilmez")</f>
        <v>https://www.seydisehirhaber.com/d/51134/cig-sut-icmenin-zararlari-nedir-cig-sut-neden-icilmez</v>
      </c>
      <c r="C126" s="2" t="s">
        <v>2075</v>
      </c>
      <c r="D126" s="3">
        <v>45315</v>
      </c>
      <c r="E126" s="2" t="s">
        <v>2076</v>
      </c>
    </row>
    <row r="127" spans="1:5" ht="70" x14ac:dyDescent="0.2">
      <c r="A127" s="2" t="s">
        <v>1974</v>
      </c>
      <c r="B127" s="2" t="str">
        <f>HYPERLINK("https://www.haber365.com.tr/likir-likir-icilen-cig-sut-akimi-sagligi-tehlikeye-atiyor-h314839")</f>
        <v>https://www.haber365.com.tr/likir-likir-icilen-cig-sut-akimi-sagligi-tehlikeye-atiyor-h314839</v>
      </c>
      <c r="C127" s="2" t="s">
        <v>1975</v>
      </c>
      <c r="D127" s="3">
        <v>45315.098090277781</v>
      </c>
      <c r="E127" s="2" t="s">
        <v>1976</v>
      </c>
    </row>
    <row r="128" spans="1:5" ht="98" x14ac:dyDescent="0.2">
      <c r="A128" s="2" t="s">
        <v>809</v>
      </c>
      <c r="B128" s="2" t="str">
        <f>HYPERLINK("https://health-reporter.news/nutritionist-review-of-netflixs-you-are-what-you-eat-docuseries/")</f>
        <v>https://health-reporter.news/nutritionist-review-of-netflixs-you-are-what-you-eat-docuseries/</v>
      </c>
      <c r="C128" s="2" t="s">
        <v>222</v>
      </c>
      <c r="D128" s="3">
        <v>45317.680069444446</v>
      </c>
      <c r="E128" s="2" t="s">
        <v>810</v>
      </c>
    </row>
    <row r="129" spans="1:5" ht="112" x14ac:dyDescent="0.2">
      <c r="A129" s="2" t="s">
        <v>2904</v>
      </c>
      <c r="B129" s="2" t="str">
        <f>HYPERLINK("https://shows.acast.com/ootb/episodes/gaslighting-america-ft-jeffrey-s-robbins")</f>
        <v>https://shows.acast.com/ootb/episodes/gaslighting-america-ft-jeffrey-s-robbins</v>
      </c>
      <c r="C129" s="2" t="s">
        <v>2905</v>
      </c>
      <c r="D129" s="3">
        <v>45317.980104166672</v>
      </c>
      <c r="E129" s="2" t="s">
        <v>2906</v>
      </c>
    </row>
    <row r="130" spans="1:5" ht="56" x14ac:dyDescent="0.2">
      <c r="A130" s="2" t="s">
        <v>3484</v>
      </c>
      <c r="B130" s="2" t="str">
        <f>HYPERLINK("https://www.newsbreak.com/news/3312486229927-the-federal-government-s-role-in-those-tiktok-ads-for-milk-and-pork")</f>
        <v>https://www.newsbreak.com/news/3312486229927-the-federal-government-s-role-in-those-tiktok-ads-for-milk-and-pork</v>
      </c>
      <c r="C130" s="2" t="s">
        <v>3461</v>
      </c>
      <c r="D130" s="3">
        <v>45318.225497685176</v>
      </c>
      <c r="E130" s="2" t="s">
        <v>179</v>
      </c>
    </row>
    <row r="131" spans="1:5" ht="56" x14ac:dyDescent="0.2">
      <c r="A131" s="2" t="s">
        <v>3549</v>
      </c>
      <c r="B131" s="2" t="str">
        <f>HYPERLINK("https://www.politico.com/news/2024/01/27/the-federal-governments-role-in-those-tiktok-ads-for-milk-and-pork-00138178")</f>
        <v>https://www.politico.com/news/2024/01/27/the-federal-governments-role-in-those-tiktok-ads-for-milk-and-pork-00138178</v>
      </c>
      <c r="C131" s="2" t="s">
        <v>3526</v>
      </c>
      <c r="D131" s="3">
        <v>45318.226435185177</v>
      </c>
      <c r="E131" s="2" t="s">
        <v>179</v>
      </c>
    </row>
    <row r="132" spans="1:5" ht="42" x14ac:dyDescent="0.2">
      <c r="A132" s="2" t="s">
        <v>22</v>
      </c>
      <c r="B132" s="2" t="str">
        <f>HYPERLINK("https://newsnetdaily.com/the-federal-governments-role-in-these-milk-and-pork-tiktok-ads/")</f>
        <v>https://newsnetdaily.com/the-federal-governments-role-in-these-milk-and-pork-tiktok-ads/</v>
      </c>
      <c r="C132" s="2" t="s">
        <v>6</v>
      </c>
      <c r="D132" s="3">
        <v>45318.397106481483</v>
      </c>
      <c r="E132" s="2" t="s">
        <v>23</v>
      </c>
    </row>
    <row r="133" spans="1:5" ht="42" x14ac:dyDescent="0.2">
      <c r="A133" s="2" t="s">
        <v>178</v>
      </c>
      <c r="B133" s="2" t="str">
        <f>HYPERLINK("https://us.knews.media/news/seeing-viral-pork-tiktoks-its-a-government-backed-group-pushing-meat-on-gen-z/")</f>
        <v>https://us.knews.media/news/seeing-viral-pork-tiktoks-its-a-government-backed-group-pushing-meat-on-gen-z/</v>
      </c>
      <c r="C133" s="2" t="s">
        <v>112</v>
      </c>
      <c r="D133" s="3">
        <v>45318.574571759258</v>
      </c>
      <c r="E133" s="2" t="s">
        <v>179</v>
      </c>
    </row>
    <row r="134" spans="1:5" ht="70" x14ac:dyDescent="0.2">
      <c r="A134" s="2" t="s">
        <v>239</v>
      </c>
      <c r="B134" s="2" t="str">
        <f>HYPERLINK("https://24noticias.org/estas-viendo-tiktoks-virales-de-cerdo-es-un-grupo-respaldado-por-el-gobierno-que-promociona-la-carne-entre-la-generacion-z/")</f>
        <v>https://24noticias.org/estas-viendo-tiktoks-virales-de-cerdo-es-un-grupo-respaldado-por-el-gobierno-que-promociona-la-carne-entre-la-generacion-z/</v>
      </c>
      <c r="C134" s="2" t="s">
        <v>240</v>
      </c>
      <c r="D134" s="3">
        <v>45318.733078703714</v>
      </c>
      <c r="E134" s="2" t="s">
        <v>241</v>
      </c>
    </row>
    <row r="135" spans="1:5" ht="56" x14ac:dyDescent="0.2">
      <c r="A135" s="2" t="s">
        <v>471</v>
      </c>
      <c r="B135" s="2" t="str">
        <f>HYPERLINK("https://goodwordnews.com/seeing-viral-pig-tiktoks-its-a-government-backed-group-thats-getting-gen-z-to-take-on-them/")</f>
        <v>https://goodwordnews.com/seeing-viral-pig-tiktoks-its-a-government-backed-group-thats-getting-gen-z-to-take-on-them/</v>
      </c>
      <c r="C135" s="2" t="s">
        <v>472</v>
      </c>
      <c r="D135" s="3">
        <v>45318.760127314818</v>
      </c>
      <c r="E135" s="2" t="s">
        <v>23</v>
      </c>
    </row>
    <row r="136" spans="1:5" ht="56" x14ac:dyDescent="0.2">
      <c r="A136" s="2" t="s">
        <v>2087</v>
      </c>
      <c r="B136" s="2" t="str">
        <f>HYPERLINK("http://metro-portal.hr/sto-se-ne-bi-smjelo-jesti-ali-bas-nikada/145524")</f>
        <v>http://metro-portal.hr/sto-se-ne-bi-smjelo-jesti-ali-bas-nikada/145524</v>
      </c>
      <c r="C136" s="2" t="s">
        <v>2088</v>
      </c>
      <c r="D136" s="3">
        <v>45320</v>
      </c>
      <c r="E136" s="2" t="s">
        <v>2089</v>
      </c>
    </row>
    <row r="137" spans="1:5" ht="42" x14ac:dyDescent="0.2">
      <c r="A137" s="2" t="s">
        <v>3366</v>
      </c>
      <c r="B137" s="2" t="str">
        <f>HYPERLINK("https://www.newsmax.com/health/health-news/food-myths-nutrition/2024/01/29/id/1151442/")</f>
        <v>https://www.newsmax.com/health/health-news/food-myths-nutrition/2024/01/29/id/1151442/</v>
      </c>
      <c r="C137" s="2" t="s">
        <v>3367</v>
      </c>
      <c r="D137" s="3">
        <v>45320.685740740737</v>
      </c>
      <c r="E137" s="2" t="s">
        <v>3368</v>
      </c>
    </row>
    <row r="138" spans="1:5" ht="56" x14ac:dyDescent="0.2">
      <c r="A138" s="2" t="s">
        <v>3845</v>
      </c>
      <c r="B138" s="2" t="str">
        <f>HYPERLINK("https://trespassosnews.com.br/saude/e-assustador-ver-o-resultado-o-experimento-sobre-os-efeitos-dos-alimentos-ultraprocessados/")</f>
        <v>https://trespassosnews.com.br/saude/e-assustador-ver-o-resultado-o-experimento-sobre-os-efeitos-dos-alimentos-ultraprocessados/</v>
      </c>
      <c r="C138" s="2" t="s">
        <v>3846</v>
      </c>
      <c r="D138" s="3">
        <v>45321.291944444441</v>
      </c>
      <c r="E138" s="2" t="s">
        <v>3847</v>
      </c>
    </row>
    <row r="139" spans="1:5" ht="98" x14ac:dyDescent="0.2">
      <c r="A139" s="2" t="s">
        <v>3372</v>
      </c>
      <c r="B139" s="2" t="str">
        <f>HYPERLINK("https://www.correiobraziliense.com.br/mundo/2024/01/6795591-os-efeitos-dos-alimentos-ultraprocessados-revelados-em-teste-e-assustador.html")</f>
        <v>https://www.correiobraziliense.com.br/mundo/2024/01/6795591-os-efeitos-dos-alimentos-ultraprocessados-revelados-em-teste-e-assustador.html</v>
      </c>
      <c r="C139" s="2" t="s">
        <v>3432</v>
      </c>
      <c r="D139" s="3">
        <v>45322.311921296299</v>
      </c>
      <c r="E139" s="2" t="s">
        <v>3433</v>
      </c>
    </row>
    <row r="140" spans="1:5" ht="112" x14ac:dyDescent="0.2">
      <c r="A140" s="2" t="s">
        <v>3372</v>
      </c>
      <c r="B140" s="2" t="str">
        <f>HYPERLINK("https://www.terra.com.br/vida-e-estilo/saude/os-efeitos-dos-alimentos-ultraprocessados-revelados-em-teste-e-assustador,09e8e83d77e638210ffa9d98c0963764bdulv1yy.html")</f>
        <v>https://www.terra.com.br/vida-e-estilo/saude/os-efeitos-dos-alimentos-ultraprocessados-revelados-em-teste-e-assustador,09e8e83d77e638210ffa9d98c0963764bdulv1yy.html</v>
      </c>
      <c r="C140" s="2" t="s">
        <v>3629</v>
      </c>
      <c r="D140" s="3">
        <v>45322.437731481477</v>
      </c>
      <c r="E140" s="2" t="s">
        <v>3630</v>
      </c>
    </row>
    <row r="141" spans="1:5" ht="56" x14ac:dyDescent="0.2">
      <c r="A141" s="2" t="s">
        <v>1663</v>
      </c>
      <c r="B141" s="2" t="str">
        <f>HYPERLINK("https://www.news8000.com/lifestyle/health/you-may-be-eating-predigested-food-here-s-why/article_ab0feb05-4d44-5cf9-8538-bad341548486.html")</f>
        <v>https://www.news8000.com/lifestyle/health/you-may-be-eating-predigested-food-here-s-why/article_ab0feb05-4d44-5cf9-8538-bad341548486.html</v>
      </c>
      <c r="C141" s="2" t="s">
        <v>2192</v>
      </c>
      <c r="D141" s="3">
        <v>45323</v>
      </c>
      <c r="E141" s="2" t="s">
        <v>1156</v>
      </c>
    </row>
    <row r="142" spans="1:5" ht="126" x14ac:dyDescent="0.2">
      <c r="A142" s="2" t="s">
        <v>3372</v>
      </c>
      <c r="B142" s="2" t="str">
        <f>HYPERLINK("https://www.em.com.br/saude/2024/02/6796082-os-efeitos-dos-alimentos-ultraprocessados-revelados-em-teste-e-assustador.html")</f>
        <v>https://www.em.com.br/saude/2024/02/6796082-os-efeitos-dos-alimentos-ultraprocessados-revelados-em-teste-e-assustador.html</v>
      </c>
      <c r="C142" s="2" t="s">
        <v>3373</v>
      </c>
      <c r="D142" s="3">
        <v>45323.126388888893</v>
      </c>
      <c r="E142" s="2" t="s">
        <v>3374</v>
      </c>
    </row>
    <row r="143" spans="1:5" ht="56" x14ac:dyDescent="0.2">
      <c r="A143" s="2" t="s">
        <v>1959</v>
      </c>
      <c r="B143" s="2" t="str">
        <f>HYPERLINK("https://kion546.com/health/cnn-health/2024/02/01/you-may-be-eating-predigested-food-heres-why/")</f>
        <v>https://kion546.com/health/cnn-health/2024/02/01/you-may-be-eating-predigested-food-heres-why/</v>
      </c>
      <c r="C143" s="2" t="s">
        <v>1955</v>
      </c>
      <c r="D143" s="3">
        <v>45323.379328703697</v>
      </c>
      <c r="E143" s="2" t="s">
        <v>1156</v>
      </c>
    </row>
    <row r="144" spans="1:5" ht="56" x14ac:dyDescent="0.2">
      <c r="A144" s="2" t="s">
        <v>1663</v>
      </c>
      <c r="B144" s="2" t="str">
        <f>HYPERLINK("https://localnews8.com/health/cnn-health/2024/02/01/you-may-be-eating-predigested-food-heres-why/")</f>
        <v>https://localnews8.com/health/cnn-health/2024/02/01/you-may-be-eating-predigested-food-heres-why/</v>
      </c>
      <c r="C144" s="2" t="s">
        <v>2164</v>
      </c>
      <c r="D144" s="3">
        <v>45323.379328703697</v>
      </c>
      <c r="E144" s="2" t="s">
        <v>1156</v>
      </c>
    </row>
    <row r="145" spans="1:5" ht="56" x14ac:dyDescent="0.2">
      <c r="A145" s="2" t="s">
        <v>1663</v>
      </c>
      <c r="B145" s="2" t="str">
        <f>HYPERLINK("https://keyt.com/health/cnn-health/2024/02/01/you-may-be-eating-predigested-food-heres-why/")</f>
        <v>https://keyt.com/health/cnn-health/2024/02/01/you-may-be-eating-predigested-food-heres-why/</v>
      </c>
      <c r="C145" s="2" t="s">
        <v>2330</v>
      </c>
      <c r="D145" s="3">
        <v>45323.379328703697</v>
      </c>
      <c r="E145" s="2" t="s">
        <v>1156</v>
      </c>
    </row>
    <row r="146" spans="1:5" ht="56" x14ac:dyDescent="0.2">
      <c r="A146" s="2" t="s">
        <v>1663</v>
      </c>
      <c r="B146" s="2" t="str">
        <f>HYPERLINK("https://kesq.com/health/cnn-health/2024/02/01/you-may-be-eating-predigested-food-heres-why/")</f>
        <v>https://kesq.com/health/cnn-health/2024/02/01/you-may-be-eating-predigested-food-heres-why/</v>
      </c>
      <c r="C146" s="2" t="s">
        <v>2448</v>
      </c>
      <c r="D146" s="3">
        <v>45323.379328703697</v>
      </c>
      <c r="E146" s="2" t="s">
        <v>1156</v>
      </c>
    </row>
    <row r="147" spans="1:5" ht="56" x14ac:dyDescent="0.2">
      <c r="A147" s="2" t="s">
        <v>1663</v>
      </c>
      <c r="B147" s="2" t="str">
        <f>HYPERLINK("https://abc17news.com/cnn-health/2024/02/01/you-may-be-eating-predigested-food-heres-why/")</f>
        <v>https://abc17news.com/cnn-health/2024/02/01/you-may-be-eating-predigested-food-heres-why/</v>
      </c>
      <c r="C147" s="2" t="s">
        <v>2484</v>
      </c>
      <c r="D147" s="3">
        <v>45323.379328703697</v>
      </c>
      <c r="E147" s="2" t="s">
        <v>1156</v>
      </c>
    </row>
    <row r="148" spans="1:5" ht="56" x14ac:dyDescent="0.2">
      <c r="A148" s="2" t="s">
        <v>1663</v>
      </c>
      <c r="B148" s="2" t="str">
        <f>HYPERLINK("https://krdo.com/news/2024/02/01/you-may-be-eating-predigested-food-heres-why/")</f>
        <v>https://krdo.com/news/2024/02/01/you-may-be-eating-predigested-food-heres-why/</v>
      </c>
      <c r="C148" s="2" t="s">
        <v>2558</v>
      </c>
      <c r="D148" s="3">
        <v>45323.379328703697</v>
      </c>
      <c r="E148" s="2" t="s">
        <v>1156</v>
      </c>
    </row>
    <row r="149" spans="1:5" ht="56" x14ac:dyDescent="0.2">
      <c r="A149" s="2" t="s">
        <v>1663</v>
      </c>
      <c r="B149" s="2" t="str">
        <f>HYPERLINK("https://ktvz.com/health/cnn-health/2024/02/01/you-may-be-eating-predigested-food-heres-why/")</f>
        <v>https://ktvz.com/health/cnn-health/2024/02/01/you-may-be-eating-predigested-food-heres-why/</v>
      </c>
      <c r="C149" s="2" t="s">
        <v>2747</v>
      </c>
      <c r="D149" s="3">
        <v>45323.379328703697</v>
      </c>
      <c r="E149" s="2" t="s">
        <v>1156</v>
      </c>
    </row>
    <row r="150" spans="1:5" ht="56" x14ac:dyDescent="0.2">
      <c r="A150" s="2" t="s">
        <v>1663</v>
      </c>
      <c r="B150" s="2" t="str">
        <f>HYPERLINK("https://www.aol.com/news/may-eating-predigested-food-why-140614648.html")</f>
        <v>https://www.aol.com/news/may-eating-predigested-food-why-140614648.html</v>
      </c>
      <c r="C150" s="2" t="s">
        <v>3592</v>
      </c>
      <c r="D150" s="3">
        <v>45323.379328703697</v>
      </c>
      <c r="E150" s="2" t="s">
        <v>1156</v>
      </c>
    </row>
    <row r="151" spans="1:5" ht="70" x14ac:dyDescent="0.2">
      <c r="A151" s="2" t="s">
        <v>1663</v>
      </c>
      <c r="B151" s="2" t="str">
        <f>HYPERLINK("https://www.crossroadstoday.com/news/health/you-may-be-eating-predigested-food-here-s-why/article_c95260f5-4d00-5b5f-8adc-ec10abb38243.html")</f>
        <v>https://www.crossroadstoday.com/news/health/you-may-be-eating-predigested-food-here-s-why/article_c95260f5-4d00-5b5f-8adc-ec10abb38243.html</v>
      </c>
      <c r="C151" s="2" t="s">
        <v>1821</v>
      </c>
      <c r="D151" s="3">
        <v>45323.388969907413</v>
      </c>
      <c r="E151" s="2" t="s">
        <v>1156</v>
      </c>
    </row>
    <row r="152" spans="1:5" ht="70" x14ac:dyDescent="0.2">
      <c r="A152" s="2" t="s">
        <v>1663</v>
      </c>
      <c r="B152" s="2" t="str">
        <f>HYPERLINK("https://www.applevalleynewsnow.com/news/health/you-may-be-eating-predigested-food-here-s-why/article_a20cc97c-e9e5-51d7-bc6a-5296b8d28eeb.html")</f>
        <v>https://www.applevalleynewsnow.com/news/health/you-may-be-eating-predigested-food-here-s-why/article_a20cc97c-e9e5-51d7-bc6a-5296b8d28eeb.html</v>
      </c>
      <c r="C152" s="2" t="s">
        <v>1690</v>
      </c>
      <c r="D152" s="3">
        <v>45323.39234953704</v>
      </c>
      <c r="E152" s="2" t="s">
        <v>1156</v>
      </c>
    </row>
    <row r="153" spans="1:5" ht="56" x14ac:dyDescent="0.2">
      <c r="A153" s="2" t="s">
        <v>1663</v>
      </c>
      <c r="B153" s="2" t="str">
        <f>HYPERLINK("https://www.cnn.com/2024/02/01/health/predigested-food-wellness/index.html")</f>
        <v>https://www.cnn.com/2024/02/01/health/predigested-food-wellness/index.html</v>
      </c>
      <c r="C153" s="2" t="s">
        <v>3705</v>
      </c>
      <c r="D153" s="3">
        <v>45323.396979166668</v>
      </c>
      <c r="E153" s="2" t="s">
        <v>1156</v>
      </c>
    </row>
    <row r="154" spans="1:5" ht="56" x14ac:dyDescent="0.2">
      <c r="A154" s="2" t="s">
        <v>1663</v>
      </c>
      <c r="B154" s="2" t="str">
        <f>HYPERLINK("https://www.wsiltv.com/news/health/you-may-be-eating-predigested-food-here-s-why/article_bad2c020-f3b6-5152-aa51-a00e18dc4dda.html")</f>
        <v>https://www.wsiltv.com/news/health/you-may-be-eating-predigested-food-here-s-why/article_bad2c020-f3b6-5152-aa51-a00e18dc4dda.html</v>
      </c>
      <c r="C154" s="2" t="s">
        <v>2232</v>
      </c>
      <c r="D154" s="3">
        <v>45323.3984375</v>
      </c>
      <c r="E154" s="2" t="s">
        <v>1156</v>
      </c>
    </row>
    <row r="155" spans="1:5" ht="56" x14ac:dyDescent="0.2">
      <c r="A155" s="2" t="s">
        <v>1663</v>
      </c>
      <c r="B155" s="2" t="str">
        <f>HYPERLINK("https://www.wevv.com/news/health/you-may-be-eating-predigested-food-here-s-why/article_ffbb50c2-ea71-5707-a467-201d799a5b5d.html")</f>
        <v>https://www.wevv.com/news/health/you-may-be-eating-predigested-food-here-s-why/article_ffbb50c2-ea71-5707-a467-201d799a5b5d.html</v>
      </c>
      <c r="C155" s="2" t="s">
        <v>1926</v>
      </c>
      <c r="D155" s="3">
        <v>45323.400034722217</v>
      </c>
      <c r="E155" s="2" t="s">
        <v>1156</v>
      </c>
    </row>
    <row r="156" spans="1:5" ht="56" x14ac:dyDescent="0.2">
      <c r="A156" s="2" t="s">
        <v>1663</v>
      </c>
      <c r="B156" s="2" t="str">
        <f>HYPERLINK("https://www.koamnewsnow.com/news/health/you-may-be-eating-predigested-food-here-s-why/article_64422930-20c8-511a-afbd-04a662486fa7.html")</f>
        <v>https://www.koamnewsnow.com/news/health/you-may-be-eating-predigested-food-here-s-why/article_64422930-20c8-511a-afbd-04a662486fa7.html</v>
      </c>
      <c r="C156" s="2" t="s">
        <v>2024</v>
      </c>
      <c r="D156" s="3">
        <v>45323.406886574077</v>
      </c>
      <c r="E156" s="2" t="s">
        <v>1156</v>
      </c>
    </row>
    <row r="157" spans="1:5" ht="56" x14ac:dyDescent="0.2">
      <c r="A157" s="2" t="s">
        <v>1663</v>
      </c>
      <c r="B157" s="2" t="str">
        <f>HYPERLINK("https://wtop.com/food-restaurant/2024/02/you-may-be-eating-predigested-food-heres-why/")</f>
        <v>https://wtop.com/food-restaurant/2024/02/you-may-be-eating-predigested-food-heres-why/</v>
      </c>
      <c r="C157" s="2" t="s">
        <v>3076</v>
      </c>
      <c r="D157" s="3">
        <v>45323.429629629631</v>
      </c>
      <c r="E157" s="2" t="s">
        <v>1156</v>
      </c>
    </row>
    <row r="158" spans="1:5" ht="56" x14ac:dyDescent="0.2">
      <c r="A158" s="2" t="s">
        <v>1155</v>
      </c>
      <c r="B158" s="2" t="str">
        <f>HYPERLINK("http://stylemagazine.com/news/2024/feb/01/why-you-may-be-eating-predigested-food/")</f>
        <v>http://stylemagazine.com/news/2024/feb/01/why-you-may-be-eating-predigested-food/</v>
      </c>
      <c r="C158" s="2" t="s">
        <v>1154</v>
      </c>
      <c r="D158" s="3">
        <v>45323.443055555559</v>
      </c>
      <c r="E158" s="2" t="s">
        <v>1156</v>
      </c>
    </row>
    <row r="159" spans="1:5" ht="56" x14ac:dyDescent="0.2">
      <c r="A159" s="2" t="s">
        <v>1663</v>
      </c>
      <c r="B159" s="2" t="str">
        <f>HYPERLINK("https://ca.sports.yahoo.com/news/may-eating-predigested-food-why-140614617.html")</f>
        <v>https://ca.sports.yahoo.com/news/may-eating-predigested-food-why-140614617.html</v>
      </c>
      <c r="C159" s="2" t="s">
        <v>2771</v>
      </c>
      <c r="D159" s="3">
        <v>45323.47016203704</v>
      </c>
      <c r="E159" s="2" t="s">
        <v>1156</v>
      </c>
    </row>
    <row r="160" spans="1:5" ht="56" x14ac:dyDescent="0.2">
      <c r="A160" s="2" t="s">
        <v>1840</v>
      </c>
      <c r="B160" s="2" t="str">
        <f>HYPERLINK("http://uk.sports.yahoo.com/news/may-eating-predigested-food-why-140614617.html")</f>
        <v>http://uk.sports.yahoo.com/news/may-eating-predigested-food-why-140614617.html</v>
      </c>
      <c r="C160" s="2" t="s">
        <v>2814</v>
      </c>
      <c r="D160" s="3">
        <v>45323.47016203704</v>
      </c>
      <c r="E160" s="2" t="s">
        <v>1156</v>
      </c>
    </row>
    <row r="161" spans="1:5" ht="56" x14ac:dyDescent="0.2">
      <c r="A161" s="2" t="s">
        <v>1663</v>
      </c>
      <c r="B161" s="2" t="str">
        <f>HYPERLINK("https://ca.style.yahoo.com/may-eating-predigested-food-why-140614617.html")</f>
        <v>https://ca.style.yahoo.com/may-eating-predigested-food-why-140614617.html</v>
      </c>
      <c r="C161" s="2" t="s">
        <v>2813</v>
      </c>
      <c r="D161" s="3">
        <v>45323.47016203704</v>
      </c>
      <c r="E161" s="2" t="s">
        <v>1156</v>
      </c>
    </row>
    <row r="162" spans="1:5" ht="56" x14ac:dyDescent="0.2">
      <c r="A162" s="2" t="s">
        <v>1840</v>
      </c>
      <c r="B162" s="2" t="str">
        <f>HYPERLINK("https://uk.style.yahoo.com/may-eating-predigested-food-why-140614617.html")</f>
        <v>https://uk.style.yahoo.com/may-eating-predigested-food-why-140614617.html</v>
      </c>
      <c r="C162" s="2" t="s">
        <v>2937</v>
      </c>
      <c r="D162" s="3">
        <v>45323.47016203704</v>
      </c>
      <c r="E162" s="2" t="s">
        <v>1156</v>
      </c>
    </row>
    <row r="163" spans="1:5" ht="56" x14ac:dyDescent="0.2">
      <c r="A163" s="2" t="s">
        <v>1663</v>
      </c>
      <c r="B163" s="2" t="str">
        <f>HYPERLINK("https://www.yahoo.com/lifestyle/may-eating-predigested-food-why-140614617.html")</f>
        <v>https://www.yahoo.com/lifestyle/may-eating-predigested-food-why-140614617.html</v>
      </c>
      <c r="C163" s="2" t="s">
        <v>3726</v>
      </c>
      <c r="D163" s="3">
        <v>45323.47016203704</v>
      </c>
      <c r="E163" s="2" t="s">
        <v>1156</v>
      </c>
    </row>
    <row r="164" spans="1:5" ht="56" x14ac:dyDescent="0.2">
      <c r="A164" s="2" t="s">
        <v>1663</v>
      </c>
      <c r="B164" s="2" t="str">
        <f>HYPERLINK("https://www.wthitv.com/news/you-may-be-eating-predigested-food-here-s-why/article_ed7d98e3-44a5-5ac0-a90f-d0464f7ff7b6.html")</f>
        <v>https://www.wthitv.com/news/you-may-be-eating-predigested-food-here-s-why/article_ed7d98e3-44a5-5ac0-a90f-d0464f7ff7b6.html</v>
      </c>
      <c r="C164" s="2" t="s">
        <v>2039</v>
      </c>
      <c r="D164" s="3">
        <v>45323.509247685193</v>
      </c>
      <c r="E164" s="2" t="s">
        <v>1156</v>
      </c>
    </row>
    <row r="165" spans="1:5" ht="56" x14ac:dyDescent="0.2">
      <c r="A165" s="2" t="s">
        <v>1840</v>
      </c>
      <c r="B165" s="2" t="str">
        <f>HYPERLINK("https://www.kten.com/story/50406530/you-may-be-eating-predigested-food-heres-why")</f>
        <v>https://www.kten.com/story/50406530/you-may-be-eating-predigested-food-heres-why</v>
      </c>
      <c r="C165" s="2" t="s">
        <v>1841</v>
      </c>
      <c r="D165" s="3">
        <v>45323.521458333344</v>
      </c>
      <c r="E165" s="2" t="s">
        <v>1156</v>
      </c>
    </row>
    <row r="166" spans="1:5" ht="56" x14ac:dyDescent="0.2">
      <c r="A166" s="2" t="s">
        <v>1663</v>
      </c>
      <c r="B166" s="2" t="str">
        <f>HYPERLINK("https://www.waaytv.com/you-may-be-eating-predigested-food-here-s-why/article_032fba1f-ea0f-57e1-a2b3-978509f7d21b.html")</f>
        <v>https://www.waaytv.com/you-may-be-eating-predigested-food-here-s-why/article_032fba1f-ea0f-57e1-a2b3-978509f7d21b.html</v>
      </c>
      <c r="C166" s="2" t="s">
        <v>2278</v>
      </c>
      <c r="D166" s="3">
        <v>45323.543576388889</v>
      </c>
      <c r="E166" s="2" t="s">
        <v>1156</v>
      </c>
    </row>
    <row r="167" spans="1:5" ht="98" x14ac:dyDescent="0.2">
      <c r="A167" s="2" t="s">
        <v>3805</v>
      </c>
      <c r="B167" s="2" t="str">
        <f>HYPERLINK("https://osegredo.com.br/efeitos-alimentos-ultraprocessados/")</f>
        <v>https://osegredo.com.br/efeitos-alimentos-ultraprocessados/</v>
      </c>
      <c r="C167" s="2" t="s">
        <v>3806</v>
      </c>
      <c r="D167" s="3">
        <v>45323.546446759261</v>
      </c>
      <c r="E167" s="2" t="s">
        <v>3807</v>
      </c>
    </row>
    <row r="168" spans="1:5" ht="56" x14ac:dyDescent="0.2">
      <c r="A168" s="2" t="s">
        <v>1663</v>
      </c>
      <c r="B168" s="2" t="str">
        <f>HYPERLINK("https://www.kdrv.com/news/healthwatch/you-may-be-eating-predigested-food-here-s-why/article_914676fe-5c0d-533b-a2ff-e0b053dc538e.html")</f>
        <v>https://www.kdrv.com/news/healthwatch/you-may-be-eating-predigested-food-here-s-why/article_914676fe-5c0d-533b-a2ff-e0b053dc538e.html</v>
      </c>
      <c r="C168" s="2" t="s">
        <v>2152</v>
      </c>
      <c r="D168" s="3">
        <v>45323.611446759263</v>
      </c>
      <c r="E168" s="2" t="s">
        <v>1156</v>
      </c>
    </row>
    <row r="169" spans="1:5" ht="70" x14ac:dyDescent="0.2">
      <c r="A169" s="2" t="s">
        <v>3345</v>
      </c>
      <c r="B169" s="2" t="str">
        <f>HYPERLINK("https://www.9news.com.au/health/food-health-research-scientists-find-you-may-be-eating-predigested-food/6ae2ff4c-cb91-4911-ab61-ac90ccf9a4f5")</f>
        <v>https://www.9news.com.au/health/food-health-research-scientists-find-you-may-be-eating-predigested-food/6ae2ff4c-cb91-4911-ab61-ac90ccf9a4f5</v>
      </c>
      <c r="C169" s="2" t="s">
        <v>3346</v>
      </c>
      <c r="D169" s="3">
        <v>45323.619942129633</v>
      </c>
      <c r="E169" s="2" t="s">
        <v>1156</v>
      </c>
    </row>
    <row r="170" spans="1:5" ht="70" x14ac:dyDescent="0.2">
      <c r="A170" s="2" t="s">
        <v>435</v>
      </c>
      <c r="B170" s="2" t="str">
        <f>HYPERLINK("https://www.nach-welt.com/moglicherweise-nehmen-sie-vorverdaute-nahrung-zu-sich-hier-ist-der-grund/")</f>
        <v>https://www.nach-welt.com/moglicherweise-nehmen-sie-vorverdaute-nahrung-zu-sich-hier-ist-der-grund/</v>
      </c>
      <c r="C170" s="2" t="s">
        <v>431</v>
      </c>
      <c r="D170" s="3">
        <v>45323.680277777778</v>
      </c>
      <c r="E170" s="2" t="s">
        <v>436</v>
      </c>
    </row>
    <row r="171" spans="1:5" ht="56" x14ac:dyDescent="0.2">
      <c r="A171" s="2" t="s">
        <v>1663</v>
      </c>
      <c r="B171" s="2" t="str">
        <f>HYPERLINK("https://news.lee.net/partners/cnn/you-may-be-eating-predigested-food-here-s-why/article_a6d44a7f-6407-5778-bd8d-704c78c85c5b.html")</f>
        <v>https://news.lee.net/partners/cnn/you-may-be-eating-predigested-food-here-s-why/article_a6d44a7f-6407-5778-bd8d-704c78c85c5b.html</v>
      </c>
      <c r="C171" s="2" t="s">
        <v>1651</v>
      </c>
      <c r="D171" s="3">
        <v>45323.987581018519</v>
      </c>
      <c r="E171" s="2" t="s">
        <v>1156</v>
      </c>
    </row>
    <row r="172" spans="1:5" ht="70" x14ac:dyDescent="0.2">
      <c r="A172" s="2" t="s">
        <v>453</v>
      </c>
      <c r="B172" s="2" t="str">
        <f>HYPERLINK("https://noticiero.lat/es-posible-que-estes-comiendo-alimentos-predigeridos-sin-saberlo-este-es-el-porque-255887.html")</f>
        <v>https://noticiero.lat/es-posible-que-estes-comiendo-alimentos-predigeridos-sin-saberlo-este-es-el-porque-255887.html</v>
      </c>
      <c r="C172" s="2" t="s">
        <v>4023</v>
      </c>
      <c r="D172" s="3">
        <v>45324</v>
      </c>
      <c r="E172" s="2" t="s">
        <v>455</v>
      </c>
    </row>
    <row r="173" spans="1:5" ht="70" x14ac:dyDescent="0.2">
      <c r="A173" s="2" t="s">
        <v>850</v>
      </c>
      <c r="B173" s="2" t="str">
        <f>HYPERLINK("https://www.alcontacto.com.mx/2024/02/02/es-posible-que-estes-comiendo-alimentos-predigeridos-sin-saberlo/")</f>
        <v>https://www.alcontacto.com.mx/2024/02/02/es-posible-que-estes-comiendo-alimentos-predigeridos-sin-saberlo/</v>
      </c>
      <c r="C173" s="2" t="s">
        <v>851</v>
      </c>
      <c r="D173" s="3">
        <v>45324.09447916667</v>
      </c>
      <c r="E173" s="2" t="s">
        <v>455</v>
      </c>
    </row>
    <row r="174" spans="1:5" ht="70" x14ac:dyDescent="0.2">
      <c r="A174" s="2" t="s">
        <v>1961</v>
      </c>
      <c r="B174" s="2" t="str">
        <f>HYPERLINK("https://kion546.com/t23/noticias-cnn/cnn-spanish/2024/02/01/es-posible-que-estes-comiendo-alimentos-predigeridos-sin-saberlo-este-es-el-porque/")</f>
        <v>https://kion546.com/t23/noticias-cnn/cnn-spanish/2024/02/01/es-posible-que-estes-comiendo-alimentos-predigeridos-sin-saberlo-este-es-el-porque/</v>
      </c>
      <c r="C174" s="2" t="s">
        <v>1953</v>
      </c>
      <c r="D174" s="3">
        <v>45324.104004629633</v>
      </c>
      <c r="E174" s="2" t="s">
        <v>455</v>
      </c>
    </row>
    <row r="175" spans="1:5" ht="70" x14ac:dyDescent="0.2">
      <c r="A175" s="2" t="s">
        <v>453</v>
      </c>
      <c r="B175" s="2" t="str">
        <f>HYPERLINK("https://keyt.com/latino/cnn-spanish/2024/02/01/es-posible-que-estes-comiendo-alimentos-predigeridos-sin-saberlo-este-es-el-porque/")</f>
        <v>https://keyt.com/latino/cnn-spanish/2024/02/01/es-posible-que-estes-comiendo-alimentos-predigeridos-sin-saberlo-este-es-el-porque/</v>
      </c>
      <c r="C175" s="2" t="s">
        <v>2330</v>
      </c>
      <c r="D175" s="3">
        <v>45324.104004629633</v>
      </c>
      <c r="E175" s="2" t="s">
        <v>455</v>
      </c>
    </row>
    <row r="176" spans="1:5" ht="70" x14ac:dyDescent="0.2">
      <c r="A176" s="2" t="s">
        <v>453</v>
      </c>
      <c r="B176" s="2" t="str">
        <f>HYPERLINK("https://abc17news.com/cnn-spanish/2024/02/02/es-posible-que-estes-comiendo-alimentos-predigeridos-sin-saberlo-este-es-el-porque/")</f>
        <v>https://abc17news.com/cnn-spanish/2024/02/02/es-posible-que-estes-comiendo-alimentos-predigeridos-sin-saberlo-este-es-el-porque/</v>
      </c>
      <c r="C176" s="2" t="s">
        <v>2484</v>
      </c>
      <c r="D176" s="3">
        <v>45324.104004629633</v>
      </c>
      <c r="E176" s="2" t="s">
        <v>455</v>
      </c>
    </row>
    <row r="177" spans="1:5" ht="70" x14ac:dyDescent="0.2">
      <c r="A177" s="2" t="s">
        <v>453</v>
      </c>
      <c r="B177" s="2" t="str">
        <f>HYPERLINK("https://krdo.com/news/2024/02/02/es-posible-que-estes-comiendo-alimentos-predigeridos-sin-saberlo-este-es-el-porque/")</f>
        <v>https://krdo.com/news/2024/02/02/es-posible-que-estes-comiendo-alimentos-predigeridos-sin-saberlo-este-es-el-porque/</v>
      </c>
      <c r="C177" s="2" t="s">
        <v>2558</v>
      </c>
      <c r="D177" s="3">
        <v>45324.104004629633</v>
      </c>
      <c r="E177" s="2" t="s">
        <v>455</v>
      </c>
    </row>
    <row r="178" spans="1:5" ht="70" x14ac:dyDescent="0.2">
      <c r="A178" s="2" t="s">
        <v>453</v>
      </c>
      <c r="B178" s="2" t="str">
        <f>HYPERLINK("https://ktvz.com/cnn-spanish/2024/02/01/es-posible-que-estes-comiendo-alimentos-predigeridos-sin-saberlo-este-es-el-porque/")</f>
        <v>https://ktvz.com/cnn-spanish/2024/02/01/es-posible-que-estes-comiendo-alimentos-predigeridos-sin-saberlo-este-es-el-porque/</v>
      </c>
      <c r="C178" s="2" t="s">
        <v>2747</v>
      </c>
      <c r="D178" s="3">
        <v>45324.104004629633</v>
      </c>
      <c r="E178" s="2" t="s">
        <v>455</v>
      </c>
    </row>
    <row r="179" spans="1:5" ht="70" x14ac:dyDescent="0.2">
      <c r="A179" s="2" t="s">
        <v>453</v>
      </c>
      <c r="B179" s="2" t="str">
        <f>HYPERLINK("https://www.huaral.pe/es-posible-que-estes-comiendo-alimentos-predigeridos-sin-saberlo-este-es-el-porque/2024/")</f>
        <v>https://www.huaral.pe/es-posible-que-estes-comiendo-alimentos-predigeridos-sin-saberlo-este-es-el-porque/2024/</v>
      </c>
      <c r="C179" s="2" t="s">
        <v>3826</v>
      </c>
      <c r="D179" s="3">
        <v>45324.104004629633</v>
      </c>
      <c r="E179" s="2" t="s">
        <v>455</v>
      </c>
    </row>
    <row r="180" spans="1:5" ht="84" x14ac:dyDescent="0.2">
      <c r="A180" s="2" t="s">
        <v>453</v>
      </c>
      <c r="B180" s="2" t="str">
        <f>HYPERLINK("https://www.crossroadstoday.com/news/espanol/noticias-locales/es-posible-que-est-s-comiendo-alimentos-predigeridos-sin-saberlo-este-es-el-porqu/article_db9fd222-a69b-5984-aaa0-22ab37d12712.html")</f>
        <v>https://www.crossroadstoday.com/news/espanol/noticias-locales/es-posible-que-est-s-comiendo-alimentos-predigeridos-sin-saberlo-este-es-el-porqu/article_db9fd222-a69b-5984-aaa0-22ab37d12712.html</v>
      </c>
      <c r="C180" s="2" t="s">
        <v>1821</v>
      </c>
      <c r="D180" s="3">
        <v>45324.113379629627</v>
      </c>
      <c r="E180" s="2" t="s">
        <v>455</v>
      </c>
    </row>
    <row r="181" spans="1:5" ht="70" x14ac:dyDescent="0.2">
      <c r="A181" s="2" t="s">
        <v>453</v>
      </c>
      <c r="B181" s="2" t="str">
        <f>HYPERLINK("https://wtop.com/news/2024/02/es-posible-que-estes-comiendo-alimentos-predigeridos-sin-saberlo-este-es-el-porque/")</f>
        <v>https://wtop.com/news/2024/02/es-posible-que-estes-comiendo-alimentos-predigeridos-sin-saberlo-este-es-el-porque/</v>
      </c>
      <c r="C181" s="2" t="s">
        <v>3076</v>
      </c>
      <c r="D181" s="3">
        <v>45324.114907407413</v>
      </c>
      <c r="E181" s="2" t="s">
        <v>455</v>
      </c>
    </row>
    <row r="182" spans="1:5" ht="70" x14ac:dyDescent="0.2">
      <c r="A182" s="2" t="s">
        <v>453</v>
      </c>
      <c r="B182" s="2" t="str">
        <f>HYPERLINK("https://kesq.com/kunamundo/noticias-cnn/cnn-spanish/2024/02/01/es-posible-que-estes-comiendo-alimentos-predigeridos-sin-saberlo-este-es-el-porque/")</f>
        <v>https://kesq.com/kunamundo/noticias-cnn/cnn-spanish/2024/02/01/es-posible-que-estes-comiendo-alimentos-predigeridos-sin-saberlo-este-es-el-porque/</v>
      </c>
      <c r="C182" s="2" t="s">
        <v>2449</v>
      </c>
      <c r="D182" s="3">
        <v>45324.118888888886</v>
      </c>
      <c r="E182" s="2" t="s">
        <v>455</v>
      </c>
    </row>
    <row r="183" spans="1:5" ht="70" x14ac:dyDescent="0.2">
      <c r="A183" s="2" t="s">
        <v>453</v>
      </c>
      <c r="B183" s="2" t="str">
        <f>HYPERLINK("https://www.wxow.com/news/spanish/es-posible-que-est-s-comiendo-alimentos-predigeridos-sin-saberlo-este-es-el-porqu/article_51a7baf0-f860-5ed5-b9cf-e76511b7b0f2.html")</f>
        <v>https://www.wxow.com/news/spanish/es-posible-que-est-s-comiendo-alimentos-predigeridos-sin-saberlo-este-es-el-porqu/article_51a7baf0-f860-5ed5-b9cf-e76511b7b0f2.html</v>
      </c>
      <c r="C183" s="2" t="s">
        <v>2107</v>
      </c>
      <c r="D183" s="3">
        <v>45324.130219907413</v>
      </c>
      <c r="E183" s="2" t="s">
        <v>455</v>
      </c>
    </row>
    <row r="184" spans="1:5" ht="70" x14ac:dyDescent="0.2">
      <c r="A184" s="2" t="s">
        <v>453</v>
      </c>
      <c r="B184" s="2" t="str">
        <f>HYPERLINK("https://www.kezi.com/news/spanish/es-posible-que-est-s-comiendo-alimentos-predigeridos-sin-saberlo-este-es-el-porqu/article_4ce16a26-d993-5773-a5c3-cf2124de7f1f.html")</f>
        <v>https://www.kezi.com/news/spanish/es-posible-que-est-s-comiendo-alimentos-predigeridos-sin-saberlo-este-es-el-porqu/article_4ce16a26-d993-5773-a5c3-cf2124de7f1f.html</v>
      </c>
      <c r="C184" s="2" t="s">
        <v>2410</v>
      </c>
      <c r="D184" s="3">
        <v>45324.137187499997</v>
      </c>
      <c r="E184" s="2" t="s">
        <v>455</v>
      </c>
    </row>
    <row r="185" spans="1:5" ht="70" x14ac:dyDescent="0.2">
      <c r="A185" s="2" t="s">
        <v>453</v>
      </c>
      <c r="B185" s="2" t="str">
        <f>HYPERLINK("https://jlanoticias.com/es-posible-que-estes-comiendo-alimentos-predigeridos-sin-saberlo-este-es-el-porque/")</f>
        <v>https://jlanoticias.com/es-posible-que-estes-comiendo-alimentos-predigeridos-sin-saberlo-este-es-el-porque/</v>
      </c>
      <c r="C185" s="2" t="s">
        <v>454</v>
      </c>
      <c r="D185" s="3">
        <v>45324.137407407397</v>
      </c>
      <c r="E185" s="2" t="s">
        <v>455</v>
      </c>
    </row>
    <row r="186" spans="1:5" ht="70" x14ac:dyDescent="0.2">
      <c r="A186" s="2" t="s">
        <v>453</v>
      </c>
      <c r="B186" s="2" t="str">
        <f>HYPERLINK("https://auburnpub.com/partners/cnn/es-posible-que-est-s-comiendo-alimentos-predigeridos-sin-saberlo-este-es-el-porqu/article_38df53be-f621-56b3-9a05-c6fbebc1d246.html")</f>
        <v>https://auburnpub.com/partners/cnn/es-posible-que-est-s-comiendo-alimentos-predigeridos-sin-saberlo-este-es-el-porqu/article_38df53be-f621-56b3-9a05-c6fbebc1d246.html</v>
      </c>
      <c r="C186" s="2" t="s">
        <v>1909</v>
      </c>
      <c r="D186" s="3">
        <v>45324.139872685177</v>
      </c>
      <c r="E186" s="2" t="s">
        <v>455</v>
      </c>
    </row>
    <row r="187" spans="1:5" ht="84" x14ac:dyDescent="0.2">
      <c r="A187" s="2" t="s">
        <v>453</v>
      </c>
      <c r="B187" s="2" t="str">
        <f>HYPERLINK("https://www.local3news.com/regional-national/en-espanol/es-posible-que-est-s-comiendo-alimentos-predigeridos-sin-saberlo-este-es-el-porqu/article_4e839481-94a7-5fb2-a4f5-c973c38a0ca5.html")</f>
        <v>https://www.local3news.com/regional-national/en-espanol/es-posible-que-est-s-comiendo-alimentos-predigeridos-sin-saberlo-este-es-el-porqu/article_4e839481-94a7-5fb2-a4f5-c973c38a0ca5.html</v>
      </c>
      <c r="C187" s="2" t="s">
        <v>2582</v>
      </c>
      <c r="D187" s="3">
        <v>45324.143263888887</v>
      </c>
      <c r="E187" s="2" t="s">
        <v>455</v>
      </c>
    </row>
    <row r="188" spans="1:5" ht="70" x14ac:dyDescent="0.2">
      <c r="A188" s="2" t="s">
        <v>453</v>
      </c>
      <c r="B188" s="2" t="str">
        <f>HYPERLINK("https://localnews8.com/cnn-spanish/2024/02/02/es-posible-que-estes-comiendo-alimentos-predigeridos-sin-saberlo-este-es-el-porque/")</f>
        <v>https://localnews8.com/cnn-spanish/2024/02/02/es-posible-que-estes-comiendo-alimentos-predigeridos-sin-saberlo-este-es-el-porque/</v>
      </c>
      <c r="C188" s="2" t="s">
        <v>2164</v>
      </c>
      <c r="D188" s="3">
        <v>45324.201631944437</v>
      </c>
      <c r="E188" s="2" t="s">
        <v>455</v>
      </c>
    </row>
    <row r="189" spans="1:5" ht="70" x14ac:dyDescent="0.2">
      <c r="A189" s="2" t="s">
        <v>453</v>
      </c>
      <c r="B189" s="2" t="str">
        <f>HYPERLINK("https://www.kidnewsradio.com/es-posible-que-estes-comiendo-alimentos-predigeridos-sin-saberlo-este-es-el-porque/")</f>
        <v>https://www.kidnewsradio.com/es-posible-que-estes-comiendo-alimentos-predigeridos-sin-saberlo-este-es-el-porque/</v>
      </c>
      <c r="C189" s="2" t="s">
        <v>457</v>
      </c>
      <c r="D189" s="3">
        <v>45324.20721064815</v>
      </c>
      <c r="E189" s="2" t="s">
        <v>455</v>
      </c>
    </row>
    <row r="190" spans="1:5" ht="42" x14ac:dyDescent="0.2">
      <c r="A190" s="2" t="s">
        <v>3033</v>
      </c>
      <c r="B190" s="2" t="str">
        <f>HYPERLINK("https://n1info.si/magazin/zakaj-je-mocno-predelana-hrana-tako-okusna-in-zakaj-jo-je-tezko-nehati-jesti/")</f>
        <v>https://n1info.si/magazin/zakaj-je-mocno-predelana-hrana-tako-okusna-in-zakaj-jo-je-tezko-nehati-jesti/</v>
      </c>
      <c r="C190" s="2" t="s">
        <v>3034</v>
      </c>
      <c r="D190" s="3">
        <v>45324.610381944447</v>
      </c>
      <c r="E190" s="2" t="s">
        <v>3035</v>
      </c>
    </row>
    <row r="191" spans="1:5" ht="56" x14ac:dyDescent="0.2">
      <c r="A191" s="2" t="s">
        <v>168</v>
      </c>
      <c r="B191" s="2" t="str">
        <f>HYPERLINK("https://newsnetdaily.com/you-may-be-eating-predigested-foods-heres-why/")</f>
        <v>https://newsnetdaily.com/you-may-be-eating-predigested-foods-heres-why/</v>
      </c>
      <c r="C191" s="2" t="s">
        <v>6</v>
      </c>
      <c r="D191" s="3">
        <v>45324.874930555547</v>
      </c>
      <c r="E191" s="2" t="s">
        <v>169</v>
      </c>
    </row>
    <row r="192" spans="1:5" ht="70" x14ac:dyDescent="0.2">
      <c r="A192" s="2" t="s">
        <v>2770</v>
      </c>
      <c r="B192" s="2" t="str">
        <f>HYPERLINK("https://ca.sports.yahoo.com/news/food-safety-experts-sharing-3-171603799.html")</f>
        <v>https://ca.sports.yahoo.com/news/food-safety-experts-sharing-3-171603799.html</v>
      </c>
      <c r="C192" s="2" t="s">
        <v>2771</v>
      </c>
      <c r="D192" s="3">
        <v>45325.511145833327</v>
      </c>
      <c r="E192" s="2" t="s">
        <v>119</v>
      </c>
    </row>
    <row r="193" spans="1:5" ht="70" x14ac:dyDescent="0.2">
      <c r="A193" s="2" t="s">
        <v>2815</v>
      </c>
      <c r="B193" s="2" t="str">
        <f>HYPERLINK("https://uk.sports.yahoo.com/news/food-safety-experts-sharing-3-171603799.html")</f>
        <v>https://uk.sports.yahoo.com/news/food-safety-experts-sharing-3-171603799.html</v>
      </c>
      <c r="C193" s="2" t="s">
        <v>2814</v>
      </c>
      <c r="D193" s="3">
        <v>45325.511145833327</v>
      </c>
      <c r="E193" s="2" t="s">
        <v>119</v>
      </c>
    </row>
    <row r="194" spans="1:5" ht="70" x14ac:dyDescent="0.2">
      <c r="A194" s="2" t="s">
        <v>2770</v>
      </c>
      <c r="B194" s="2" t="str">
        <f>HYPERLINK("https://ca.style.yahoo.com/food-safety-experts-sharing-3-171603799.html")</f>
        <v>https://ca.style.yahoo.com/food-safety-experts-sharing-3-171603799.html</v>
      </c>
      <c r="C194" s="2" t="s">
        <v>2813</v>
      </c>
      <c r="D194" s="3">
        <v>45325.511145833327</v>
      </c>
      <c r="E194" s="2" t="s">
        <v>119</v>
      </c>
    </row>
    <row r="195" spans="1:5" ht="70" x14ac:dyDescent="0.2">
      <c r="A195" s="2" t="s">
        <v>2939</v>
      </c>
      <c r="B195" s="2" t="str">
        <f>HYPERLINK("https://uk.style.yahoo.com/food-safety-experts-sharing-3-171603799.html")</f>
        <v>https://uk.style.yahoo.com/food-safety-experts-sharing-3-171603799.html</v>
      </c>
      <c r="C195" s="2" t="s">
        <v>2937</v>
      </c>
      <c r="D195" s="3">
        <v>45325.511145833327</v>
      </c>
      <c r="E195" s="2" t="s">
        <v>119</v>
      </c>
    </row>
    <row r="196" spans="1:5" ht="70" x14ac:dyDescent="0.2">
      <c r="A196" s="2" t="s">
        <v>2770</v>
      </c>
      <c r="B196" s="2" t="str">
        <f>HYPERLINK("https://au.lifestyle.yahoo.com/food-safety-experts-sharing-3-171603799.html")</f>
        <v>https://au.lifestyle.yahoo.com/food-safety-experts-sharing-3-171603799.html</v>
      </c>
      <c r="C196" s="2" t="s">
        <v>3030</v>
      </c>
      <c r="D196" s="3">
        <v>45325.511145833327</v>
      </c>
      <c r="E196" s="2" t="s">
        <v>119</v>
      </c>
    </row>
    <row r="197" spans="1:5" ht="70" x14ac:dyDescent="0.2">
      <c r="A197" s="2" t="s">
        <v>2939</v>
      </c>
      <c r="B197" s="2" t="str">
        <f>HYPERLINK("https://sg.news.yahoo.com/food-safety-experts-sharing-3-171603799.html")</f>
        <v>https://sg.news.yahoo.com/food-safety-experts-sharing-3-171603799.html</v>
      </c>
      <c r="C197" s="2" t="s">
        <v>3120</v>
      </c>
      <c r="D197" s="3">
        <v>45325.511145833327</v>
      </c>
      <c r="E197" s="2" t="s">
        <v>119</v>
      </c>
    </row>
    <row r="198" spans="1:5" ht="70" x14ac:dyDescent="0.2">
      <c r="A198" s="2" t="s">
        <v>2770</v>
      </c>
      <c r="B198" s="2" t="str">
        <f>HYPERLINK("https://ca.news.yahoo.com/food-safety-experts-sharing-3-171603799.html")</f>
        <v>https://ca.news.yahoo.com/food-safety-experts-sharing-3-171603799.html</v>
      </c>
      <c r="C198" s="2" t="s">
        <v>3097</v>
      </c>
      <c r="D198" s="3">
        <v>45325.511145833327</v>
      </c>
      <c r="E198" s="2" t="s">
        <v>119</v>
      </c>
    </row>
    <row r="199" spans="1:5" ht="70" x14ac:dyDescent="0.2">
      <c r="A199" s="2" t="s">
        <v>3624</v>
      </c>
      <c r="B199" s="2" t="str">
        <f>HYPERLINK("https://www.buzzfeed.com/leighweingus/chicken-contamination-salmonella-safety?d_id=7258470&amp;ref=bftwgoodful")</f>
        <v>https://www.buzzfeed.com/leighweingus/chicken-contamination-salmonella-safety?d_id=7258470&amp;ref=bftwgoodful</v>
      </c>
      <c r="C199" s="2" t="s">
        <v>3625</v>
      </c>
      <c r="D199" s="3">
        <v>45325.511145833327</v>
      </c>
      <c r="E199" s="2" t="s">
        <v>119</v>
      </c>
    </row>
    <row r="200" spans="1:5" ht="70" x14ac:dyDescent="0.2">
      <c r="A200" s="2" t="s">
        <v>3624</v>
      </c>
      <c r="B200" s="2" t="str">
        <f>HYPERLINK("https://www.buzzfeed.com/leighweingus/chicken-contamination-salmonella-safety?d_id=7258395&amp;ref=bftwtasty")</f>
        <v>https://www.buzzfeed.com/leighweingus/chicken-contamination-salmonella-safety?d_id=7258395&amp;ref=bftwtasty</v>
      </c>
      <c r="C200" s="2" t="s">
        <v>3625</v>
      </c>
      <c r="D200" s="3">
        <v>45325.511145833327</v>
      </c>
      <c r="E200" s="2" t="s">
        <v>119</v>
      </c>
    </row>
    <row r="201" spans="1:5" ht="70" x14ac:dyDescent="0.2">
      <c r="A201" s="2" t="s">
        <v>3624</v>
      </c>
      <c r="B201" s="2" t="str">
        <f>HYPERLINK("https://www.buzzfeed.com/leighweingus/chicken-contamination-salmonella-safety")</f>
        <v>https://www.buzzfeed.com/leighweingus/chicken-contamination-salmonella-safety</v>
      </c>
      <c r="C201" s="2" t="s">
        <v>3625</v>
      </c>
      <c r="D201" s="3">
        <v>45325.513796296298</v>
      </c>
      <c r="E201" s="2" t="s">
        <v>119</v>
      </c>
    </row>
    <row r="202" spans="1:5" ht="70" x14ac:dyDescent="0.2">
      <c r="A202" s="2" t="s">
        <v>2770</v>
      </c>
      <c r="B202" s="2" t="str">
        <f>HYPERLINK("https://www.yahoo.com/lifestyle/food-safety-experts-sharing-3-171603799.html")</f>
        <v>https://www.yahoo.com/lifestyle/food-safety-experts-sharing-3-171603799.html</v>
      </c>
      <c r="C202" s="2" t="s">
        <v>3726</v>
      </c>
      <c r="D202" s="3">
        <v>45325.525983796288</v>
      </c>
      <c r="E202" s="2" t="s">
        <v>119</v>
      </c>
    </row>
    <row r="203" spans="1:5" ht="70" x14ac:dyDescent="0.2">
      <c r="A203" s="2" t="s">
        <v>3285</v>
      </c>
      <c r="B203" s="2" t="str">
        <f>HYPERLINK("https://www.ksl.com/article/50863719/like-a-baby-bird-you-may-be-eating-predigested-food-heres-what-that-means")</f>
        <v>https://www.ksl.com/article/50863719/like-a-baby-bird-you-may-be-eating-predigested-food-heres-what-that-means</v>
      </c>
      <c r="C203" s="2" t="s">
        <v>3284</v>
      </c>
      <c r="D203" s="3">
        <v>45326.822222222218</v>
      </c>
      <c r="E203" s="2" t="s">
        <v>448</v>
      </c>
    </row>
    <row r="204" spans="1:5" ht="70" x14ac:dyDescent="0.2">
      <c r="A204" s="2" t="s">
        <v>2798</v>
      </c>
      <c r="B204" s="2" t="str">
        <f>HYPERLINK("https://www.noticiasdecoimbra.pt/o-frango-que-compra-pode-estar-contaminado/")</f>
        <v>https://www.noticiasdecoimbra.pt/o-frango-que-compra-pode-estar-contaminado/</v>
      </c>
      <c r="C204" s="2" t="s">
        <v>2799</v>
      </c>
      <c r="D204" s="3">
        <v>45327</v>
      </c>
      <c r="E204" s="2" t="s">
        <v>2800</v>
      </c>
    </row>
    <row r="205" spans="1:5" ht="182" x14ac:dyDescent="0.2">
      <c r="A205" s="2" t="s">
        <v>601</v>
      </c>
      <c r="B205" s="2" t="str">
        <f>HYPERLINK("https://www.ivoox.com/en/the-invention-of-baby-food-audios-mp3_rf_123740595_1.html")</f>
        <v>https://www.ivoox.com/en/the-invention-of-baby-food-audios-mp3_rf_123740595_1.html</v>
      </c>
      <c r="C205" s="2" t="s">
        <v>2956</v>
      </c>
      <c r="D205" s="3">
        <v>45327</v>
      </c>
      <c r="E205" s="2" t="s">
        <v>2962</v>
      </c>
    </row>
    <row r="206" spans="1:5" ht="70" x14ac:dyDescent="0.2">
      <c r="A206" s="2" t="s">
        <v>400</v>
      </c>
      <c r="B206" s="2" t="str">
        <f>HYPERLINK("https://pressnewsagency.org/you-could-be-consuming-predigested-meals-here-is-what-which-means/")</f>
        <v>https://pressnewsagency.org/you-could-be-consuming-predigested-meals-here-is-what-which-means/</v>
      </c>
      <c r="C206" s="2" t="s">
        <v>394</v>
      </c>
      <c r="D206" s="3">
        <v>45327.122372685182</v>
      </c>
      <c r="E206" s="2" t="s">
        <v>401</v>
      </c>
    </row>
    <row r="207" spans="1:5" ht="154" x14ac:dyDescent="0.2">
      <c r="A207" s="2" t="s">
        <v>12</v>
      </c>
      <c r="B207" s="2" t="str">
        <f>HYPERLINK("https://newsnetdaily.com/you-may-be-eating-predigested-foods-heres-what-it-means/")</f>
        <v>https://newsnetdaily.com/you-may-be-eating-predigested-foods-heres-what-it-means/</v>
      </c>
      <c r="C207" s="2" t="s">
        <v>6</v>
      </c>
      <c r="D207" s="3">
        <v>45327.152858796297</v>
      </c>
      <c r="E207" s="2" t="s">
        <v>13</v>
      </c>
    </row>
    <row r="208" spans="1:5" ht="140" x14ac:dyDescent="0.2">
      <c r="A208" s="2" t="s">
        <v>799</v>
      </c>
      <c r="B208" s="2" t="str">
        <f>HYPERLINK("https://news-24.fr/vous-mangez-peut-etre-des-aliments-predigeres-voici-ce-que-cela-signifie/")</f>
        <v>https://news-24.fr/vous-mangez-peut-etre-des-aliments-predigeres-voici-ce-que-cela-signifie/</v>
      </c>
      <c r="C208" s="2" t="s">
        <v>797</v>
      </c>
      <c r="D208" s="3">
        <v>45327.153553240743</v>
      </c>
      <c r="E208" s="2" t="s">
        <v>800</v>
      </c>
    </row>
    <row r="209" spans="1:5" ht="70" x14ac:dyDescent="0.2">
      <c r="A209" s="2" t="s">
        <v>3911</v>
      </c>
      <c r="B209" s="2" t="str">
        <f>HYPERLINK("https://newsfounded.com/you-may-be-eating-predigested-food-heres-what-it-means/")</f>
        <v>https://newsfounded.com/you-may-be-eating-predigested-food-heres-what-it-means/</v>
      </c>
      <c r="C209" s="2" t="s">
        <v>3771</v>
      </c>
      <c r="D209" s="3">
        <v>45327.168298611112</v>
      </c>
      <c r="E209" s="2" t="s">
        <v>3912</v>
      </c>
    </row>
    <row r="210" spans="1:5" ht="70" x14ac:dyDescent="0.2">
      <c r="A210" s="2" t="s">
        <v>635</v>
      </c>
      <c r="B210" s="2" t="str">
        <f>HYPERLINK("https://newsbeezer.com/you-may-be-eating-pre-digested-food-heres-what-that-means/")</f>
        <v>https://newsbeezer.com/you-may-be-eating-pre-digested-food-heres-what-that-means/</v>
      </c>
      <c r="C210" s="2" t="s">
        <v>629</v>
      </c>
      <c r="D210" s="3">
        <v>45327.174143518518</v>
      </c>
      <c r="E210" s="2" t="s">
        <v>636</v>
      </c>
    </row>
    <row r="211" spans="1:5" ht="70" x14ac:dyDescent="0.2">
      <c r="A211" s="2" t="s">
        <v>447</v>
      </c>
      <c r="B211" s="2" t="str">
        <f>HYPERLINK("https://pedfire.com/you-may-be-eating-predigested-food-heres-what-that-means/")</f>
        <v>https://pedfire.com/you-may-be-eating-predigested-food-heres-what-that-means/</v>
      </c>
      <c r="C211" s="2" t="s">
        <v>446</v>
      </c>
      <c r="D211" s="3">
        <v>45327.196539351848</v>
      </c>
      <c r="E211" s="2" t="s">
        <v>448</v>
      </c>
    </row>
    <row r="212" spans="1:5" ht="140" x14ac:dyDescent="0.2">
      <c r="A212" s="2" t="s">
        <v>601</v>
      </c>
      <c r="B212" s="2" t="str">
        <f>HYPERLINK("https://www.eatthispodcast.com/baby-food/")</f>
        <v>https://www.eatthispodcast.com/baby-food/</v>
      </c>
      <c r="C212" s="2" t="s">
        <v>602</v>
      </c>
      <c r="D212" s="3">
        <v>45327.329571759263</v>
      </c>
      <c r="E212" s="2" t="s">
        <v>603</v>
      </c>
    </row>
    <row r="213" spans="1:5" ht="112" x14ac:dyDescent="0.2">
      <c r="A213" s="2" t="s">
        <v>3943</v>
      </c>
      <c r="B213" s="2" t="str">
        <f>HYPERLINK("https://foodmedcenter.org/food-and-its-use-flax-seeds/")</f>
        <v>https://foodmedcenter.org/food-and-its-use-flax-seeds/</v>
      </c>
      <c r="C213" s="2" t="s">
        <v>3944</v>
      </c>
      <c r="D213" s="3">
        <v>45327.5</v>
      </c>
      <c r="E213" s="2" t="s">
        <v>3945</v>
      </c>
    </row>
    <row r="214" spans="1:5" ht="56" x14ac:dyDescent="0.2">
      <c r="A214" s="2" t="s">
        <v>2097</v>
      </c>
      <c r="B214" s="2" t="str">
        <f>HYPERLINK("https://www.phillytrib.com/news/health/here-s-why-you-may-be-eating-predigested-food/article_3028f33c-7e0c-5592-9860-4ad3789deb87.html")</f>
        <v>https://www.phillytrib.com/news/health/here-s-why-you-may-be-eating-predigested-food/article_3028f33c-7e0c-5592-9860-4ad3789deb87.html</v>
      </c>
      <c r="C214" s="2" t="s">
        <v>2047</v>
      </c>
      <c r="D214" s="3">
        <v>45328.042557870373</v>
      </c>
      <c r="E214" s="2" t="s">
        <v>1156</v>
      </c>
    </row>
    <row r="215" spans="1:5" ht="70" x14ac:dyDescent="0.2">
      <c r="A215" s="2" t="s">
        <v>2587</v>
      </c>
      <c r="B215" s="2" t="str">
        <f>HYPERLINK("https://www.moneyreview.gr/business-and-finance/international/135488/i-viomichania-trofimon-thelei-na-chanoyme-ton-elegcho-tora-antimetopi-me-yparxiaki-apeili/")</f>
        <v>https://www.moneyreview.gr/business-and-finance/international/135488/i-viomichania-trofimon-thelei-na-chanoyme-ton-elegcho-tora-antimetopi-me-yparxiaki-apeili/</v>
      </c>
      <c r="C215" s="2" t="s">
        <v>2588</v>
      </c>
      <c r="D215" s="3">
        <v>45328.279733796298</v>
      </c>
      <c r="E215" s="2" t="s">
        <v>2589</v>
      </c>
    </row>
    <row r="216" spans="1:5" ht="56" x14ac:dyDescent="0.2">
      <c r="A216" s="2" t="s">
        <v>2485</v>
      </c>
      <c r="B216" s="2" t="str">
        <f>HYPERLINK("https://brandequity.economictimes.indiatimes.com/news/advertising/in-the-ozempic-era-has-craveable-lost-its-selling-power/107467407")</f>
        <v>https://brandequity.economictimes.indiatimes.com/news/advertising/in-the-ozempic-era-has-craveable-lost-its-selling-power/107467407</v>
      </c>
      <c r="C216" s="2" t="s">
        <v>2486</v>
      </c>
      <c r="D216" s="3">
        <v>45328.931597222218</v>
      </c>
      <c r="E216" s="2" t="s">
        <v>2487</v>
      </c>
    </row>
    <row r="217" spans="1:5" ht="56" x14ac:dyDescent="0.2">
      <c r="A217" s="2" t="s">
        <v>3179</v>
      </c>
      <c r="B217" s="2" t="str">
        <f>HYPERLINK("https://www.mtvuutiset.fi/artikkeli/syotko-kertaalleen-syotya-ruokaa-uhkana-painonnousu-sairastuminen-ja-jopa-ennenaikainen-kuolema/8873516")</f>
        <v>https://www.mtvuutiset.fi/artikkeli/syotko-kertaalleen-syotya-ruokaa-uhkana-painonnousu-sairastuminen-ja-jopa-ennenaikainen-kuolema/8873516</v>
      </c>
      <c r="C217" s="2" t="s">
        <v>3180</v>
      </c>
      <c r="D217" s="3">
        <v>45329.349236111113</v>
      </c>
      <c r="E217" s="2" t="s">
        <v>3181</v>
      </c>
    </row>
    <row r="218" spans="1:5" ht="56" x14ac:dyDescent="0.2">
      <c r="A218" s="2" t="s">
        <v>2677</v>
      </c>
      <c r="B218" s="2" t="str">
        <f>HYPERLINK("https://www.celebitchy.com/856399/ultra-processed_food_is_so_addictive_because_its_predigested/")</f>
        <v>https://www.celebitchy.com/856399/ultra-processed_food_is_so_addictive_because_its_predigested/</v>
      </c>
      <c r="C218" s="2" t="s">
        <v>2678</v>
      </c>
      <c r="D218" s="3">
        <v>45329.379386574074</v>
      </c>
      <c r="E218" s="2" t="s">
        <v>2679</v>
      </c>
    </row>
    <row r="219" spans="1:5" ht="56" x14ac:dyDescent="0.2">
      <c r="A219" s="2" t="s">
        <v>349</v>
      </c>
      <c r="B219" s="2" t="str">
        <f>HYPERLINK("https://www.nationalgeographic.com/science/article/kombucha-nootropics-attention-memory-gut-immune-functional-drinks")</f>
        <v>https://www.nationalgeographic.com/science/article/kombucha-nootropics-attention-memory-gut-immune-functional-drinks</v>
      </c>
      <c r="C219" s="2" t="s">
        <v>3397</v>
      </c>
      <c r="D219" s="3">
        <v>45329.791666666657</v>
      </c>
      <c r="E219" s="2" t="s">
        <v>3398</v>
      </c>
    </row>
    <row r="220" spans="1:5" ht="98" x14ac:dyDescent="0.2">
      <c r="A220" s="2" t="s">
        <v>1561</v>
      </c>
      <c r="B220" s="2" t="str">
        <f>HYPERLINK("https://www.blogarama.com/health-and-fitness-blogs/198418-childhood-obesity-news-resource-growing-blog/56600777-selling-crap-kids-part/")</f>
        <v>https://www.blogarama.com/health-and-fitness-blogs/198418-childhood-obesity-news-resource-growing-blog/56600777-selling-crap-kids-part/</v>
      </c>
      <c r="C220" s="2" t="s">
        <v>1554</v>
      </c>
      <c r="D220" s="3">
        <v>45330</v>
      </c>
      <c r="E220" s="2" t="s">
        <v>1562</v>
      </c>
    </row>
    <row r="221" spans="1:5" ht="70" x14ac:dyDescent="0.2">
      <c r="A221" s="2" t="s">
        <v>3080</v>
      </c>
      <c r="B221" s="2" t="str">
        <f>HYPERLINK("https://www.pronews.gr/ygeia/diatrofi/to-kreas-pou-ftiaxtike-xoris-na-skotothei-kanena-zoo-etoimazetai-na-ginei-pragmatikotita-stis-ipa/")</f>
        <v>https://www.pronews.gr/ygeia/diatrofi/to-kreas-pou-ftiaxtike-xoris-na-skotothei-kanena-zoo-etoimazetai-na-ginei-pragmatikotita-stis-ipa/</v>
      </c>
      <c r="C221" s="2" t="s">
        <v>3081</v>
      </c>
      <c r="D221" s="3">
        <v>45333.479247685187</v>
      </c>
      <c r="E221" s="2" t="s">
        <v>1138</v>
      </c>
    </row>
    <row r="222" spans="1:5" ht="98" x14ac:dyDescent="0.2">
      <c r="A222" s="2" t="s">
        <v>956</v>
      </c>
      <c r="B222" s="2" t="str">
        <f>HYPERLINK("https://conscienhealth.org/2024/02/the-snack-industry-won-the-super-bowl/")</f>
        <v>https://conscienhealth.org/2024/02/the-snack-industry-won-the-super-bowl/</v>
      </c>
      <c r="C222" s="2" t="s">
        <v>957</v>
      </c>
      <c r="D222" s="3">
        <v>45334.250578703701</v>
      </c>
      <c r="E222" s="2" t="s">
        <v>958</v>
      </c>
    </row>
    <row r="223" spans="1:5" ht="98" x14ac:dyDescent="0.2">
      <c r="A223" s="2" t="s">
        <v>610</v>
      </c>
      <c r="B223" s="2" t="str">
        <f>HYPERLINK("https://www.wfdd.org/story/skip-candy-valentines-day-here-are-some-healthier-options")</f>
        <v>https://www.wfdd.org/story/skip-candy-valentines-day-here-are-some-healthier-options</v>
      </c>
      <c r="C223" s="2" t="s">
        <v>1474</v>
      </c>
      <c r="D223" s="3">
        <v>45335</v>
      </c>
      <c r="E223" s="2" t="s">
        <v>154</v>
      </c>
    </row>
    <row r="224" spans="1:5" ht="98" x14ac:dyDescent="0.2">
      <c r="A224" s="2" t="s">
        <v>610</v>
      </c>
      <c r="B224" s="2" t="str">
        <f>HYPERLINK("https://whro.org/news/national-news/44947-skip-candy-this-valentine-s-day-here-are-some-healthier-options")</f>
        <v>https://whro.org/news/national-news/44947-skip-candy-this-valentine-s-day-here-are-some-healthier-options</v>
      </c>
      <c r="C224" s="2" t="s">
        <v>1728</v>
      </c>
      <c r="D224" s="3">
        <v>45335</v>
      </c>
      <c r="E224" s="2" t="s">
        <v>154</v>
      </c>
    </row>
    <row r="225" spans="1:5" ht="98" x14ac:dyDescent="0.2">
      <c r="A225" s="2" t="s">
        <v>610</v>
      </c>
      <c r="B225" s="2" t="str">
        <f>HYPERLINK("https://www.northcountrypublicradio.org/news/npr/1230916198/skip-candy-this-valentine-s-day-here-are-some-healthier-options")</f>
        <v>https://www.northcountrypublicradio.org/news/npr/1230916198/skip-candy-this-valentine-s-day-here-are-some-healthier-options</v>
      </c>
      <c r="C225" s="2" t="s">
        <v>2052</v>
      </c>
      <c r="D225" s="3">
        <v>45335</v>
      </c>
      <c r="E225" s="2" t="s">
        <v>154</v>
      </c>
    </row>
    <row r="226" spans="1:5" ht="98" x14ac:dyDescent="0.2">
      <c r="A226" s="2" t="s">
        <v>610</v>
      </c>
      <c r="B226" s="2" t="str">
        <f>HYPERLINK("https://wamu.org/story/24/02/13/skip-candy-this-valentines-day-here-are-some-healthier-options/")</f>
        <v>https://wamu.org/story/24/02/13/skip-candy-this-valentines-day-here-are-some-healthier-options/</v>
      </c>
      <c r="C226" s="2" t="s">
        <v>2314</v>
      </c>
      <c r="D226" s="3">
        <v>45335</v>
      </c>
      <c r="E226" s="2" t="s">
        <v>113</v>
      </c>
    </row>
    <row r="227" spans="1:5" ht="98" x14ac:dyDescent="0.2">
      <c r="A227" s="2" t="s">
        <v>610</v>
      </c>
      <c r="B227" s="2" t="str">
        <f>HYPERLINK("https://www.wbur.org/npr/1230916198/valentines-day-healthy-gift-ideas-alternatives-chocolate-candy")</f>
        <v>https://www.wbur.org/npr/1230916198/valentines-day-healthy-gift-ideas-alternatives-chocolate-candy</v>
      </c>
      <c r="C227" s="2" t="s">
        <v>2949</v>
      </c>
      <c r="D227" s="3">
        <v>45335</v>
      </c>
      <c r="E227" s="2" t="s">
        <v>154</v>
      </c>
    </row>
    <row r="228" spans="1:5" ht="56" x14ac:dyDescent="0.2">
      <c r="A228" s="2" t="s">
        <v>610</v>
      </c>
      <c r="B228" s="2" t="str">
        <f>HYPERLINK("https://briefly.co/anchor/Food_and_drink/story/skip-candy-this-valentines-day-here-are-some-healthier-options")</f>
        <v>https://briefly.co/anchor/Food_and_drink/story/skip-candy-this-valentines-day-here-are-some-healthier-options</v>
      </c>
      <c r="C228" s="2" t="s">
        <v>4199</v>
      </c>
      <c r="D228" s="3">
        <v>45335</v>
      </c>
      <c r="E228" s="2" t="s">
        <v>4200</v>
      </c>
    </row>
    <row r="229" spans="1:5" ht="126" x14ac:dyDescent="0.2">
      <c r="A229" s="2" t="s">
        <v>610</v>
      </c>
      <c r="B229" s="2" t="str">
        <f>HYPERLINK("https://www.wprl.org/npr-news/2024-02-13/skip-candy-this-valentines-day-here-are-some-healthier-options")</f>
        <v>https://www.wprl.org/npr-news/2024-02-13/skip-candy-this-valentines-day-here-are-some-healthier-options</v>
      </c>
      <c r="C229" s="2" t="s">
        <v>830</v>
      </c>
      <c r="D229" s="3">
        <v>45335.000509259262</v>
      </c>
      <c r="E229" s="2" t="s">
        <v>612</v>
      </c>
    </row>
    <row r="230" spans="1:5" ht="126" x14ac:dyDescent="0.2">
      <c r="A230" s="2" t="s">
        <v>610</v>
      </c>
      <c r="B230" s="2" t="str">
        <f>HYPERLINK("https://www.kios.org/2024-02-13/skip-candy-this-valentines-day-here-are-some-healthier-options")</f>
        <v>https://www.kios.org/2024-02-13/skip-candy-this-valentines-day-here-are-some-healthier-options</v>
      </c>
      <c r="C230" s="2" t="s">
        <v>995</v>
      </c>
      <c r="D230" s="3">
        <v>45335.000509259262</v>
      </c>
      <c r="E230" s="2" t="s">
        <v>612</v>
      </c>
    </row>
    <row r="231" spans="1:5" ht="126" x14ac:dyDescent="0.2">
      <c r="A231" s="2" t="s">
        <v>610</v>
      </c>
      <c r="B231" s="2" t="str">
        <f>HYPERLINK("https://www.wmky.org/npr-news/2024-02-13/skip-candy-this-valentines-day-here-are-some-healthier-options")</f>
        <v>https://www.wmky.org/npr-news/2024-02-13/skip-candy-this-valentines-day-here-are-some-healthier-options</v>
      </c>
      <c r="C231" s="2" t="s">
        <v>1095</v>
      </c>
      <c r="D231" s="3">
        <v>45335.000509259262</v>
      </c>
      <c r="E231" s="2" t="s">
        <v>612</v>
      </c>
    </row>
    <row r="232" spans="1:5" ht="126" x14ac:dyDescent="0.2">
      <c r="A232" s="2" t="s">
        <v>610</v>
      </c>
      <c r="B232" s="2" t="str">
        <f>HYPERLINK("https://www.weku.org/npr-news/2024-02-13/skip-candy-this-valentines-day-here-are-some-healthier-options")</f>
        <v>https://www.weku.org/npr-news/2024-02-13/skip-candy-this-valentines-day-here-are-some-healthier-options</v>
      </c>
      <c r="C232" s="2" t="s">
        <v>1356</v>
      </c>
      <c r="D232" s="3">
        <v>45335.000509259262</v>
      </c>
      <c r="E232" s="2" t="s">
        <v>612</v>
      </c>
    </row>
    <row r="233" spans="1:5" ht="126" x14ac:dyDescent="0.2">
      <c r="A233" s="2" t="s">
        <v>610</v>
      </c>
      <c r="B233" s="2" t="str">
        <f>HYPERLINK("https://news.wnin.org/2024-02-13/skip-candy-this-valentines-day-here-are-some-healthier-options")</f>
        <v>https://news.wnin.org/2024-02-13/skip-candy-this-valentines-day-here-are-some-healthier-options</v>
      </c>
      <c r="C233" s="2" t="s">
        <v>1198</v>
      </c>
      <c r="D233" s="3">
        <v>45335.000509259262</v>
      </c>
      <c r="E233" s="2" t="s">
        <v>612</v>
      </c>
    </row>
    <row r="234" spans="1:5" ht="126" x14ac:dyDescent="0.2">
      <c r="A234" s="2" t="s">
        <v>610</v>
      </c>
      <c r="B234" s="2" t="str">
        <f>HYPERLINK("https://www.iowapublicradio.org/news-from-npr/2024-02-13/skip-candy-this-valentines-day-here-are-some-healthier-options")</f>
        <v>https://www.iowapublicradio.org/news-from-npr/2024-02-13/skip-candy-this-valentines-day-here-are-some-healthier-options</v>
      </c>
      <c r="C234" s="2" t="s">
        <v>1912</v>
      </c>
      <c r="D234" s="3">
        <v>45335.000509259262</v>
      </c>
      <c r="E234" s="2" t="s">
        <v>612</v>
      </c>
    </row>
    <row r="235" spans="1:5" ht="126" x14ac:dyDescent="0.2">
      <c r="A235" s="2" t="s">
        <v>610</v>
      </c>
      <c r="B235" s="2" t="str">
        <f>HYPERLINK("https://www.wuft.org/2024-02-13/skip-candy-this-valentines-day-here-are-some-healthier-options")</f>
        <v>https://www.wuft.org/2024-02-13/skip-candy-this-valentines-day-here-are-some-healthier-options</v>
      </c>
      <c r="C235" s="2" t="s">
        <v>2048</v>
      </c>
      <c r="D235" s="3">
        <v>45335.000509259262</v>
      </c>
      <c r="E235" s="2" t="s">
        <v>612</v>
      </c>
    </row>
    <row r="236" spans="1:5" ht="126" x14ac:dyDescent="0.2">
      <c r="A236" s="2" t="s">
        <v>610</v>
      </c>
      <c r="B236" s="2" t="str">
        <f>HYPERLINK("https://www.wusf.org/2024-02-13/skip-candy-this-valentines-day-here-are-some-healthier-options")</f>
        <v>https://www.wusf.org/2024-02-13/skip-candy-this-valentines-day-here-are-some-healthier-options</v>
      </c>
      <c r="C236" s="2" t="s">
        <v>2382</v>
      </c>
      <c r="D236" s="3">
        <v>45335.000509259262</v>
      </c>
      <c r="E236" s="2" t="s">
        <v>612</v>
      </c>
    </row>
    <row r="237" spans="1:5" ht="98" x14ac:dyDescent="0.2">
      <c r="A237" s="2" t="s">
        <v>153</v>
      </c>
      <c r="B237" s="2" t="str">
        <f>HYPERLINK("https://metajaunnews.com/healthier-alternatives-to-valentines-day-candy-npr/")</f>
        <v>https://metajaunnews.com/healthier-alternatives-to-valentines-day-candy-npr/</v>
      </c>
      <c r="C237" s="2" t="s">
        <v>40</v>
      </c>
      <c r="D237" s="3">
        <v>45335.20884259259</v>
      </c>
      <c r="E237" s="2" t="s">
        <v>154</v>
      </c>
    </row>
    <row r="238" spans="1:5" ht="98" x14ac:dyDescent="0.2">
      <c r="A238" s="2" t="s">
        <v>610</v>
      </c>
      <c r="B238" s="2" t="str">
        <f>HYPERLINK("https://www.kpcc.org/npr-news/2024-02-13/skip-candy-this-valentines-day-here-are-some-healthier-options")</f>
        <v>https://www.kpcc.org/npr-news/2024-02-13/skip-candy-this-valentines-day-here-are-some-healthier-options</v>
      </c>
      <c r="C238" s="2" t="s">
        <v>1096</v>
      </c>
      <c r="D238" s="3">
        <v>45335.20884259259</v>
      </c>
      <c r="E238" s="2" t="s">
        <v>154</v>
      </c>
    </row>
    <row r="239" spans="1:5" ht="98" x14ac:dyDescent="0.2">
      <c r="A239" s="2" t="s">
        <v>610</v>
      </c>
      <c r="B239" s="2" t="str">
        <f>HYPERLINK("https://news.wjct.org/national-news/2024-02-13/skip-candy-this-valentines-day-here-are-some-healthier-options")</f>
        <v>https://news.wjct.org/national-news/2024-02-13/skip-candy-this-valentines-day-here-are-some-healthier-options</v>
      </c>
      <c r="C239" s="2" t="s">
        <v>1399</v>
      </c>
      <c r="D239" s="3">
        <v>45335.20884259259</v>
      </c>
      <c r="E239" s="2" t="s">
        <v>154</v>
      </c>
    </row>
    <row r="240" spans="1:5" ht="98" x14ac:dyDescent="0.2">
      <c r="A240" s="2" t="s">
        <v>610</v>
      </c>
      <c r="B240" s="2" t="str">
        <f>HYPERLINK("https://www.wliw.org/radio/news/skip-candy-this-valentines-day-here-are-some-healthier-options/")</f>
        <v>https://www.wliw.org/radio/news/skip-candy-this-valentines-day-here-are-some-healthier-options/</v>
      </c>
      <c r="C240" s="2" t="s">
        <v>1621</v>
      </c>
      <c r="D240" s="3">
        <v>45335.20884259259</v>
      </c>
      <c r="E240" s="2" t="s">
        <v>113</v>
      </c>
    </row>
    <row r="241" spans="1:5" ht="98" x14ac:dyDescent="0.2">
      <c r="A241" s="2" t="s">
        <v>610</v>
      </c>
      <c r="B241" s="2" t="str">
        <f>HYPERLINK("https://www.inkl.com/news/skip-candy-this-valentine-s-day-here-are-some-healthier-options")</f>
        <v>https://www.inkl.com/news/skip-candy-this-valentine-s-day-here-are-some-healthier-options</v>
      </c>
      <c r="C241" s="2" t="s">
        <v>2569</v>
      </c>
      <c r="D241" s="3">
        <v>45335.20884259259</v>
      </c>
      <c r="E241" s="2" t="s">
        <v>154</v>
      </c>
    </row>
    <row r="242" spans="1:5" ht="126" x14ac:dyDescent="0.2">
      <c r="A242" s="2" t="s">
        <v>610</v>
      </c>
      <c r="B242" s="2" t="str">
        <f>HYPERLINK("https://www.kasu.org/health-science/2024-02-13/skip-candy-this-valentines-day-here-are-some-healthier-options")</f>
        <v>https://www.kasu.org/health-science/2024-02-13/skip-candy-this-valentines-day-here-are-some-healthier-options</v>
      </c>
      <c r="C242" s="2" t="s">
        <v>900</v>
      </c>
      <c r="D242" s="3">
        <v>45335.212291666663</v>
      </c>
      <c r="E242" s="2" t="s">
        <v>612</v>
      </c>
    </row>
    <row r="243" spans="1:5" ht="126" x14ac:dyDescent="0.2">
      <c r="A243" s="2" t="s">
        <v>610</v>
      </c>
      <c r="B243" s="2" t="str">
        <f>HYPERLINK("https://www.wmra.org/2024-02-13/skip-candy-this-valentines-day-here-are-some-healthier-options")</f>
        <v>https://www.wmra.org/2024-02-13/skip-candy-this-valentines-day-here-are-some-healthier-options</v>
      </c>
      <c r="C243" s="2" t="s">
        <v>1150</v>
      </c>
      <c r="D243" s="3">
        <v>45335.212465277778</v>
      </c>
      <c r="E243" s="2" t="s">
        <v>612</v>
      </c>
    </row>
    <row r="244" spans="1:5" ht="126" x14ac:dyDescent="0.2">
      <c r="A244" s="2" t="s">
        <v>610</v>
      </c>
      <c r="B244" s="2" t="str">
        <f>HYPERLINK("https://www.wbaa.org/2024-02-13/skip-candy-this-valentines-day-here-are-some-healthier-options")</f>
        <v>https://www.wbaa.org/2024-02-13/skip-candy-this-valentines-day-here-are-some-healthier-options</v>
      </c>
      <c r="C244" s="2" t="s">
        <v>997</v>
      </c>
      <c r="D244" s="3">
        <v>45335.212511574071</v>
      </c>
      <c r="E244" s="2" t="s">
        <v>612</v>
      </c>
    </row>
    <row r="245" spans="1:5" ht="126" x14ac:dyDescent="0.2">
      <c r="A245" s="2" t="s">
        <v>610</v>
      </c>
      <c r="B245" s="2" t="str">
        <f>HYPERLINK("https://www.wvasfm.org/arts/2024-02-13/skip-candy-this-valentines-day-here-are-some-healthier-options")</f>
        <v>https://www.wvasfm.org/arts/2024-02-13/skip-candy-this-valentines-day-here-are-some-healthier-options</v>
      </c>
      <c r="C245" s="2" t="s">
        <v>699</v>
      </c>
      <c r="D245" s="3">
        <v>45335.212627314817</v>
      </c>
      <c r="E245" s="2" t="s">
        <v>612</v>
      </c>
    </row>
    <row r="246" spans="1:5" ht="126" x14ac:dyDescent="0.2">
      <c r="A246" s="2" t="s">
        <v>610</v>
      </c>
      <c r="B246" s="2" t="str">
        <f>HYPERLINK("https://www.wkms.org/npr-news/2024-02-13/skip-candy-this-valentines-day-here-are-some-healthier-options")</f>
        <v>https://www.wkms.org/npr-news/2024-02-13/skip-candy-this-valentines-day-here-are-some-healthier-options</v>
      </c>
      <c r="C246" s="2" t="s">
        <v>1294</v>
      </c>
      <c r="D246" s="3">
        <v>45335.21298611111</v>
      </c>
      <c r="E246" s="2" t="s">
        <v>612</v>
      </c>
    </row>
    <row r="247" spans="1:5" ht="126" x14ac:dyDescent="0.2">
      <c r="A247" s="2" t="s">
        <v>610</v>
      </c>
      <c r="B247" s="2" t="str">
        <f>HYPERLINK("https://listen.sdpb.org/2024-02-13/skip-candy-this-valentines-day-here-are-some-healthier-options")</f>
        <v>https://listen.sdpb.org/2024-02-13/skip-candy-this-valentines-day-here-are-some-healthier-options</v>
      </c>
      <c r="C247" s="2" t="s">
        <v>1104</v>
      </c>
      <c r="D247" s="3">
        <v>45335.213113425933</v>
      </c>
      <c r="E247" s="2" t="s">
        <v>612</v>
      </c>
    </row>
    <row r="248" spans="1:5" ht="126" x14ac:dyDescent="0.2">
      <c r="A248" s="2" t="s">
        <v>610</v>
      </c>
      <c r="B248" s="2" t="str">
        <f>HYPERLINK("https://www.kacu.org/2024-02-13/skip-candy-this-valentines-day-here-are-some-healthier-options")</f>
        <v>https://www.kacu.org/2024-02-13/skip-candy-this-valentines-day-here-are-some-healthier-options</v>
      </c>
      <c r="C248" s="2" t="s">
        <v>611</v>
      </c>
      <c r="D248" s="3">
        <v>45335.213206018518</v>
      </c>
      <c r="E248" s="2" t="s">
        <v>612</v>
      </c>
    </row>
    <row r="249" spans="1:5" ht="98" x14ac:dyDescent="0.2">
      <c r="A249" s="2" t="s">
        <v>610</v>
      </c>
      <c r="B249" s="2" t="str">
        <f>HYPERLINK("https://www.wkyufm.org/npr-arts-life/2024-02-13/skip-candy-this-valentines-day-here-are-some-healthier-options")</f>
        <v>https://www.wkyufm.org/npr-arts-life/2024-02-13/skip-candy-this-valentines-day-here-are-some-healthier-options</v>
      </c>
      <c r="C249" s="2" t="s">
        <v>1146</v>
      </c>
      <c r="D249" s="3">
        <v>45335.213263888887</v>
      </c>
      <c r="E249" s="2" t="s">
        <v>154</v>
      </c>
    </row>
    <row r="250" spans="1:5" ht="126" x14ac:dyDescent="0.2">
      <c r="A250" s="2" t="s">
        <v>610</v>
      </c>
      <c r="B250" s="2" t="str">
        <f>HYPERLINK("https://www.kedm.org/npr-national-news/2024-02-13/skip-candy-this-valentines-day-here-are-some-healthier-options")</f>
        <v>https://www.kedm.org/npr-national-news/2024-02-13/skip-candy-this-valentines-day-here-are-some-healthier-options</v>
      </c>
      <c r="C250" s="2" t="s">
        <v>868</v>
      </c>
      <c r="D250" s="3">
        <v>45335.213321759264</v>
      </c>
      <c r="E250" s="2" t="s">
        <v>612</v>
      </c>
    </row>
    <row r="251" spans="1:5" ht="126" x14ac:dyDescent="0.2">
      <c r="A251" s="2" t="s">
        <v>610</v>
      </c>
      <c r="B251" s="2" t="str">
        <f>HYPERLINK("https://www.kgou.org/arts-and-entertainment/2024-02-13/skip-candy-this-valentines-day-here-are-some-healthier-options")</f>
        <v>https://www.kgou.org/arts-and-entertainment/2024-02-13/skip-candy-this-valentines-day-here-are-some-healthier-options</v>
      </c>
      <c r="C251" s="2" t="s">
        <v>1316</v>
      </c>
      <c r="D251" s="3">
        <v>45335.213356481479</v>
      </c>
      <c r="E251" s="2" t="s">
        <v>612</v>
      </c>
    </row>
    <row r="252" spans="1:5" ht="126" x14ac:dyDescent="0.2">
      <c r="A252" s="2" t="s">
        <v>610</v>
      </c>
      <c r="B252" s="2" t="str">
        <f>HYPERLINK("https://www.mtpr.org/2024-02-13/skip-candy-this-valentines-day-here-are-some-healthier-options")</f>
        <v>https://www.mtpr.org/2024-02-13/skip-candy-this-valentines-day-here-are-some-healthier-options</v>
      </c>
      <c r="C252" s="2" t="s">
        <v>1846</v>
      </c>
      <c r="D252" s="3">
        <v>45335.213368055563</v>
      </c>
      <c r="E252" s="2" t="s">
        <v>612</v>
      </c>
    </row>
    <row r="253" spans="1:5" ht="126" x14ac:dyDescent="0.2">
      <c r="A253" s="2" t="s">
        <v>610</v>
      </c>
      <c r="B253" s="2" t="str">
        <f>HYPERLINK("https://www.wcsufm.org/latest-from-npr/2024-02-13/skip-candy-this-valentines-day-here-are-some-healthier-options")</f>
        <v>https://www.wcsufm.org/latest-from-npr/2024-02-13/skip-candy-this-valentines-day-here-are-some-healthier-options</v>
      </c>
      <c r="C253" s="2" t="s">
        <v>717</v>
      </c>
      <c r="D253" s="3">
        <v>45335.213391203702</v>
      </c>
      <c r="E253" s="2" t="s">
        <v>612</v>
      </c>
    </row>
    <row r="254" spans="1:5" ht="126" x14ac:dyDescent="0.2">
      <c r="A254" s="2" t="s">
        <v>610</v>
      </c>
      <c r="B254" s="2" t="str">
        <f>HYPERLINK("https://radio.wcmu.org/national-world-news/2024-02-13/skip-candy-this-valentines-day-here-are-some-healthier-options")</f>
        <v>https://radio.wcmu.org/national-world-news/2024-02-13/skip-candy-this-valentines-day-here-are-some-healthier-options</v>
      </c>
      <c r="C254" s="2" t="s">
        <v>1127</v>
      </c>
      <c r="D254" s="3">
        <v>45335.213819444441</v>
      </c>
      <c r="E254" s="2" t="s">
        <v>612</v>
      </c>
    </row>
    <row r="255" spans="1:5" ht="126" x14ac:dyDescent="0.2">
      <c r="A255" s="2" t="s">
        <v>610</v>
      </c>
      <c r="B255" s="2" t="str">
        <f>HYPERLINK("https://www.tspr.org/npr-news/2024-02-13/skip-candy-this-valentines-day-here-are-some-healthier-options")</f>
        <v>https://www.tspr.org/npr-news/2024-02-13/skip-candy-this-valentines-day-here-are-some-healthier-options</v>
      </c>
      <c r="C255" s="2" t="s">
        <v>1083</v>
      </c>
      <c r="D255" s="3">
        <v>45335.213888888888</v>
      </c>
      <c r="E255" s="2" t="s">
        <v>612</v>
      </c>
    </row>
    <row r="256" spans="1:5" ht="126" x14ac:dyDescent="0.2">
      <c r="A256" s="2" t="s">
        <v>610</v>
      </c>
      <c r="B256" s="2" t="str">
        <f>HYPERLINK("https://www.kccu.org/arts/2024-02-13/skip-candy-this-valentines-day-here-are-some-healthier-options")</f>
        <v>https://www.kccu.org/arts/2024-02-13/skip-candy-this-valentines-day-here-are-some-healthier-options</v>
      </c>
      <c r="C256" s="2" t="s">
        <v>877</v>
      </c>
      <c r="D256" s="3">
        <v>45335.213923611111</v>
      </c>
      <c r="E256" s="2" t="s">
        <v>612</v>
      </c>
    </row>
    <row r="257" spans="1:5" ht="126" x14ac:dyDescent="0.2">
      <c r="A257" s="2" t="s">
        <v>610</v>
      </c>
      <c r="B257" s="2" t="str">
        <f>HYPERLINK("https://www.kwbu.org/latest-from-npr/2024-02-13/skip-candy-this-valentines-day-here-are-some-healthier-options")</f>
        <v>https://www.kwbu.org/latest-from-npr/2024-02-13/skip-candy-this-valentines-day-here-are-some-healthier-options</v>
      </c>
      <c r="C257" s="2" t="s">
        <v>872</v>
      </c>
      <c r="D257" s="3">
        <v>45335.213935185187</v>
      </c>
      <c r="E257" s="2" t="s">
        <v>612</v>
      </c>
    </row>
    <row r="258" spans="1:5" ht="126" x14ac:dyDescent="0.2">
      <c r="A258" s="2" t="s">
        <v>610</v>
      </c>
      <c r="B258" s="2" t="str">
        <f>HYPERLINK("https://www.whqr.org/national/2024-02-13/skip-candy-this-valentines-day-here-are-some-healthier-options")</f>
        <v>https://www.whqr.org/national/2024-02-13/skip-candy-this-valentines-day-here-are-some-healthier-options</v>
      </c>
      <c r="C258" s="2" t="s">
        <v>1366</v>
      </c>
      <c r="D258" s="3">
        <v>45335.213969907411</v>
      </c>
      <c r="E258" s="2" t="s">
        <v>612</v>
      </c>
    </row>
    <row r="259" spans="1:5" ht="126" x14ac:dyDescent="0.2">
      <c r="A259" s="2" t="s">
        <v>610</v>
      </c>
      <c r="B259" s="2" t="str">
        <f>HYPERLINK("https://www.northernpublicradio.org/2024-02-13/skip-candy-this-valentines-day-here-are-some-healthier-options")</f>
        <v>https://www.northernpublicradio.org/2024-02-13/skip-candy-this-valentines-day-here-are-some-healthier-options</v>
      </c>
      <c r="C259" s="2" t="s">
        <v>1550</v>
      </c>
      <c r="D259" s="3">
        <v>45335.213969907411</v>
      </c>
      <c r="E259" s="2" t="s">
        <v>612</v>
      </c>
    </row>
    <row r="260" spans="1:5" ht="126" x14ac:dyDescent="0.2">
      <c r="A260" s="2" t="s">
        <v>610</v>
      </c>
      <c r="B260" s="2" t="str">
        <f>HYPERLINK("https://www.kpcw.org/npr-news/2024-02-13/skip-candy-this-valentines-day-here-are-some-healthier-options")</f>
        <v>https://www.kpcw.org/npr-news/2024-02-13/skip-candy-this-valentines-day-here-are-some-healthier-options</v>
      </c>
      <c r="C260" s="2" t="s">
        <v>2067</v>
      </c>
      <c r="D260" s="3">
        <v>45335.213969907411</v>
      </c>
      <c r="E260" s="2" t="s">
        <v>612</v>
      </c>
    </row>
    <row r="261" spans="1:5" ht="126" x14ac:dyDescent="0.2">
      <c r="A261" s="2" t="s">
        <v>610</v>
      </c>
      <c r="B261" s="2" t="str">
        <f>HYPERLINK("https://www.kdlg.org/as-heard-on-npr/2024-02-13/skip-candy-this-valentines-day-here-are-some-healthier-options")</f>
        <v>https://www.kdlg.org/as-heard-on-npr/2024-02-13/skip-candy-this-valentines-day-here-are-some-healthier-options</v>
      </c>
      <c r="C261" s="2" t="s">
        <v>1008</v>
      </c>
      <c r="D261" s="3">
        <v>45335.21402777778</v>
      </c>
      <c r="E261" s="2" t="s">
        <v>612</v>
      </c>
    </row>
    <row r="262" spans="1:5" ht="126" x14ac:dyDescent="0.2">
      <c r="A262" s="2" t="s">
        <v>610</v>
      </c>
      <c r="B262" s="2" t="str">
        <f>HYPERLINK("https://radio.wpsu.org/2024-02-13/skip-candy-this-valentines-day-here-are-some-healthier-options")</f>
        <v>https://radio.wpsu.org/2024-02-13/skip-candy-this-valentines-day-here-are-some-healthier-options</v>
      </c>
      <c r="C262" s="2" t="s">
        <v>1128</v>
      </c>
      <c r="D262" s="3">
        <v>45335.21402777778</v>
      </c>
      <c r="E262" s="2" t="s">
        <v>612</v>
      </c>
    </row>
    <row r="263" spans="1:5" ht="126" x14ac:dyDescent="0.2">
      <c r="A263" s="2" t="s">
        <v>610</v>
      </c>
      <c r="B263" s="2" t="str">
        <f>HYPERLINK("https://www.ualrpublicradio.org/npr-news/2024-02-13/skip-candy-this-valentines-day-here-are-some-healthier-options")</f>
        <v>https://www.ualrpublicradio.org/npr-news/2024-02-13/skip-candy-this-valentines-day-here-are-some-healthier-options</v>
      </c>
      <c r="C263" s="2" t="s">
        <v>1406</v>
      </c>
      <c r="D263" s="3">
        <v>45335.21402777778</v>
      </c>
      <c r="E263" s="2" t="s">
        <v>612</v>
      </c>
    </row>
    <row r="264" spans="1:5" ht="126" x14ac:dyDescent="0.2">
      <c r="A264" s="2" t="s">
        <v>610</v>
      </c>
      <c r="B264" s="2" t="str">
        <f>HYPERLINK("https://www.wwno.org/npr-news/2024-02-13/skip-candy-this-valentines-day-here-are-some-healthier-options")</f>
        <v>https://www.wwno.org/npr-news/2024-02-13/skip-candy-this-valentines-day-here-are-some-healthier-options</v>
      </c>
      <c r="C264" s="2" t="s">
        <v>1623</v>
      </c>
      <c r="D264" s="3">
        <v>45335.214039351849</v>
      </c>
      <c r="E264" s="2" t="s">
        <v>612</v>
      </c>
    </row>
    <row r="265" spans="1:5" ht="126" x14ac:dyDescent="0.2">
      <c r="A265" s="2" t="s">
        <v>610</v>
      </c>
      <c r="B265" s="2" t="str">
        <f>HYPERLINK("https://www.apr.org/arts-life/2024-02-13/skip-candy-this-valentines-day-here-are-some-healthier-options")</f>
        <v>https://www.apr.org/arts-life/2024-02-13/skip-candy-this-valentines-day-here-are-some-healthier-options</v>
      </c>
      <c r="C265" s="2" t="s">
        <v>1452</v>
      </c>
      <c r="D265" s="3">
        <v>45335.214201388888</v>
      </c>
      <c r="E265" s="2" t="s">
        <v>612</v>
      </c>
    </row>
    <row r="266" spans="1:5" ht="126" x14ac:dyDescent="0.2">
      <c r="A266" s="2" t="s">
        <v>610</v>
      </c>
      <c r="B266" s="2" t="str">
        <f>HYPERLINK("https://www.npr.org/2024/02/13/1230916198/valentines-day-healthy-gift-ideas-alternatives-chocolate-candy")</f>
        <v>https://www.npr.org/2024/02/13/1230916198/valentines-day-healthy-gift-ideas-alternatives-chocolate-candy</v>
      </c>
      <c r="C266" s="2" t="s">
        <v>3631</v>
      </c>
      <c r="D266" s="3">
        <v>45335.214305555557</v>
      </c>
      <c r="E266" s="2" t="s">
        <v>3632</v>
      </c>
    </row>
    <row r="267" spans="1:5" ht="126" x14ac:dyDescent="0.2">
      <c r="A267" s="2" t="s">
        <v>610</v>
      </c>
      <c r="B267" s="2" t="str">
        <f>HYPERLINK("https://www.wvia.org/news/arts/2024-02-13/skip-candy-this-valentines-day-here-are-some-healthier-options")</f>
        <v>https://www.wvia.org/news/arts/2024-02-13/skip-candy-this-valentines-day-here-are-some-healthier-options</v>
      </c>
      <c r="C267" s="2" t="s">
        <v>1701</v>
      </c>
      <c r="D267" s="3">
        <v>45335.214606481481</v>
      </c>
      <c r="E267" s="2" t="s">
        <v>612</v>
      </c>
    </row>
    <row r="268" spans="1:5" ht="126" x14ac:dyDescent="0.2">
      <c r="A268" s="2" t="s">
        <v>610</v>
      </c>
      <c r="B268" s="2" t="str">
        <f>HYPERLINK("https://www.weaa.org/2024-02-13/skip-candy-this-valentines-day-here-are-some-healthier-options")</f>
        <v>https://www.weaa.org/2024-02-13/skip-candy-this-valentines-day-here-are-some-healthier-options</v>
      </c>
      <c r="C268" s="2" t="s">
        <v>939</v>
      </c>
      <c r="D268" s="3">
        <v>45335.21465277778</v>
      </c>
      <c r="E268" s="2" t="s">
        <v>612</v>
      </c>
    </row>
    <row r="269" spans="1:5" ht="126" x14ac:dyDescent="0.2">
      <c r="A269" s="2" t="s">
        <v>610</v>
      </c>
      <c r="B269" s="2" t="str">
        <f>HYPERLINK("https://www.wcbe.org/npr-news/2024-02-13/skip-candy-this-valentines-day-here-are-some-healthier-options")</f>
        <v>https://www.wcbe.org/npr-news/2024-02-13/skip-candy-this-valentines-day-here-are-some-healthier-options</v>
      </c>
      <c r="C269" s="2" t="s">
        <v>1153</v>
      </c>
      <c r="D269" s="3">
        <v>45335.21465277778</v>
      </c>
      <c r="E269" s="2" t="s">
        <v>612</v>
      </c>
    </row>
    <row r="270" spans="1:5" ht="98" x14ac:dyDescent="0.2">
      <c r="A270" s="2" t="s">
        <v>610</v>
      </c>
      <c r="B270" s="2" t="str">
        <f>HYPERLINK("https://www.nprillinois.org/2024-02-13/skip-candy-this-valentines-day-here-are-some-healthier-options")</f>
        <v>https://www.nprillinois.org/2024-02-13/skip-candy-this-valentines-day-here-are-some-healthier-options</v>
      </c>
      <c r="C270" s="2" t="s">
        <v>1834</v>
      </c>
      <c r="D270" s="3">
        <v>45335.214733796303</v>
      </c>
      <c r="E270" s="2" t="s">
        <v>154</v>
      </c>
    </row>
    <row r="271" spans="1:5" ht="126" x14ac:dyDescent="0.2">
      <c r="A271" s="2" t="s">
        <v>610</v>
      </c>
      <c r="B271" s="2" t="str">
        <f>HYPERLINK("https://www.wutc.org/2024-02-13/skip-candy-this-valentines-day-here-are-some-healthier-options")</f>
        <v>https://www.wutc.org/2024-02-13/skip-candy-this-valentines-day-here-are-some-healthier-options</v>
      </c>
      <c r="C271" s="2" t="s">
        <v>1005</v>
      </c>
      <c r="D271" s="3">
        <v>45335.214780092603</v>
      </c>
      <c r="E271" s="2" t="s">
        <v>612</v>
      </c>
    </row>
    <row r="272" spans="1:5" ht="126" x14ac:dyDescent="0.2">
      <c r="A272" s="2" t="s">
        <v>610</v>
      </c>
      <c r="B272" s="2" t="str">
        <f>HYPERLINK("https://www.kawc.org/npr-news/2024-02-13/skip-candy-this-valentines-day-here-are-some-healthier-options")</f>
        <v>https://www.kawc.org/npr-news/2024-02-13/skip-candy-this-valentines-day-here-are-some-healthier-options</v>
      </c>
      <c r="C272" s="2" t="s">
        <v>1459</v>
      </c>
      <c r="D272" s="3">
        <v>45335.214780092603</v>
      </c>
      <c r="E272" s="2" t="s">
        <v>612</v>
      </c>
    </row>
    <row r="273" spans="1:5" ht="126" x14ac:dyDescent="0.2">
      <c r="A273" s="2" t="s">
        <v>610</v>
      </c>
      <c r="B273" s="2" t="str">
        <f>HYPERLINK("https://www.kunc.org/npr-news/2024-02-13/skip-candy-this-valentines-day-here-are-some-healthier-options")</f>
        <v>https://www.kunc.org/npr-news/2024-02-13/skip-candy-this-valentines-day-here-are-some-healthier-options</v>
      </c>
      <c r="C273" s="2" t="s">
        <v>1691</v>
      </c>
      <c r="D273" s="3">
        <v>45335.214895833327</v>
      </c>
      <c r="E273" s="2" t="s">
        <v>612</v>
      </c>
    </row>
    <row r="274" spans="1:5" ht="126" x14ac:dyDescent="0.2">
      <c r="A274" s="2" t="s">
        <v>610</v>
      </c>
      <c r="B274" s="2" t="str">
        <f>HYPERLINK("https://www.kclu.org/arts-culture/2024-02-13/skip-candy-this-valentines-day-here-are-some-healthier-options")</f>
        <v>https://www.kclu.org/arts-culture/2024-02-13/skip-candy-this-valentines-day-here-are-some-healthier-options</v>
      </c>
      <c r="C274" s="2" t="s">
        <v>1529</v>
      </c>
      <c r="D274" s="3">
        <v>45335.214999999997</v>
      </c>
      <c r="E274" s="2" t="s">
        <v>612</v>
      </c>
    </row>
    <row r="275" spans="1:5" ht="126" x14ac:dyDescent="0.2">
      <c r="A275" s="2" t="s">
        <v>610</v>
      </c>
      <c r="B275" s="2" t="str">
        <f>HYPERLINK("https://www.klcc.org/npr-food/2024-02-13/skip-candy-this-valentines-day-here-are-some-healthier-options")</f>
        <v>https://www.klcc.org/npr-food/2024-02-13/skip-candy-this-valentines-day-here-are-some-healthier-options</v>
      </c>
      <c r="C275" s="2" t="s">
        <v>1809</v>
      </c>
      <c r="D275" s="3">
        <v>45335.214999999997</v>
      </c>
      <c r="E275" s="2" t="s">
        <v>612</v>
      </c>
    </row>
    <row r="276" spans="1:5" ht="126" x14ac:dyDescent="0.2">
      <c r="A276" s="2" t="s">
        <v>610</v>
      </c>
      <c r="B276" s="2" t="str">
        <f>HYPERLINK("https://www.nepm.org/national-world-news/2024-02-13/skip-candy-this-valentines-day-here-are-some-healthier-options")</f>
        <v>https://www.nepm.org/national-world-news/2024-02-13/skip-candy-this-valentines-day-here-are-some-healthier-options</v>
      </c>
      <c r="C276" s="2" t="s">
        <v>1654</v>
      </c>
      <c r="D276" s="3">
        <v>45335.215104166673</v>
      </c>
      <c r="E276" s="2" t="s">
        <v>612</v>
      </c>
    </row>
    <row r="277" spans="1:5" ht="126" x14ac:dyDescent="0.2">
      <c r="A277" s="2" t="s">
        <v>610</v>
      </c>
      <c r="B277" s="2" t="str">
        <f>HYPERLINK("https://www.kazu.org/npr-news/2024-02-13/skip-candy-this-valentines-day-here-are-some-healthier-options")</f>
        <v>https://www.kazu.org/npr-news/2024-02-13/skip-candy-this-valentines-day-here-are-some-healthier-options</v>
      </c>
      <c r="C277" s="2" t="s">
        <v>1248</v>
      </c>
      <c r="D277" s="3">
        <v>45335.215173611112</v>
      </c>
      <c r="E277" s="2" t="s">
        <v>612</v>
      </c>
    </row>
    <row r="278" spans="1:5" ht="126" x14ac:dyDescent="0.2">
      <c r="A278" s="2" t="s">
        <v>610</v>
      </c>
      <c r="B278" s="2" t="str">
        <f>HYPERLINK("https://www.kosu.org/food-drink/2024-02-13/skip-candy-this-valentines-day-here-are-some-healthier-options")</f>
        <v>https://www.kosu.org/food-drink/2024-02-13/skip-candy-this-valentines-day-here-are-some-healthier-options</v>
      </c>
      <c r="C278" s="2" t="s">
        <v>1978</v>
      </c>
      <c r="D278" s="3">
        <v>45335.215185185189</v>
      </c>
      <c r="E278" s="2" t="s">
        <v>612</v>
      </c>
    </row>
    <row r="279" spans="1:5" ht="126" x14ac:dyDescent="0.2">
      <c r="A279" s="2" t="s">
        <v>610</v>
      </c>
      <c r="B279" s="2" t="str">
        <f>HYPERLINK("https://www.wyomingpublicmedia.org/2024-02-13/skip-candy-this-valentines-day-here-are-some-healthier-options")</f>
        <v>https://www.wyomingpublicmedia.org/2024-02-13/skip-candy-this-valentines-day-here-are-some-healthier-options</v>
      </c>
      <c r="C279" s="2" t="s">
        <v>1820</v>
      </c>
      <c r="D279" s="3">
        <v>45335.215254629627</v>
      </c>
      <c r="E279" s="2" t="s">
        <v>612</v>
      </c>
    </row>
    <row r="280" spans="1:5" ht="126" x14ac:dyDescent="0.2">
      <c r="A280" s="2" t="s">
        <v>610</v>
      </c>
      <c r="B280" s="2" t="str">
        <f>HYPERLINK("https://www.kunm.org/npr-news/2024-02-13/skip-candy-this-valentines-day-here-are-some-healthier-options")</f>
        <v>https://www.kunm.org/npr-news/2024-02-13/skip-candy-this-valentines-day-here-are-some-healthier-options</v>
      </c>
      <c r="C280" s="2" t="s">
        <v>1553</v>
      </c>
      <c r="D280" s="3">
        <v>45335.21534722222</v>
      </c>
      <c r="E280" s="2" t="s">
        <v>612</v>
      </c>
    </row>
    <row r="281" spans="1:5" ht="126" x14ac:dyDescent="0.2">
      <c r="A281" s="2" t="s">
        <v>610</v>
      </c>
      <c r="B281" s="2" t="str">
        <f>HYPERLINK("https://www.ktep.org/u-s-news/2024-02-13/skip-candy-this-valentines-day-here-are-some-healthier-options")</f>
        <v>https://www.ktep.org/u-s-news/2024-02-13/skip-candy-this-valentines-day-here-are-some-healthier-options</v>
      </c>
      <c r="C281" s="2" t="s">
        <v>849</v>
      </c>
      <c r="D281" s="3">
        <v>45335.215370370373</v>
      </c>
      <c r="E281" s="2" t="s">
        <v>612</v>
      </c>
    </row>
    <row r="282" spans="1:5" ht="126" x14ac:dyDescent="0.2">
      <c r="A282" s="2" t="s">
        <v>610</v>
      </c>
      <c r="B282" s="2" t="str">
        <f>HYPERLINK("https://www.kalw.org/2024-02-13/skip-candy-this-valentines-day-here-are-some-healthier-options")</f>
        <v>https://www.kalw.org/2024-02-13/skip-candy-this-valentines-day-here-are-some-healthier-options</v>
      </c>
      <c r="C282" s="2" t="s">
        <v>1689</v>
      </c>
      <c r="D282" s="3">
        <v>45335.215428240743</v>
      </c>
      <c r="E282" s="2" t="s">
        <v>612</v>
      </c>
    </row>
    <row r="283" spans="1:5" ht="126" x14ac:dyDescent="0.2">
      <c r="A283" s="2" t="s">
        <v>610</v>
      </c>
      <c r="B283" s="2" t="str">
        <f>HYPERLINK("https://www.ketr.org/2024-02-13/skip-candy-this-valentines-day-here-are-some-healthier-options")</f>
        <v>https://www.ketr.org/2024-02-13/skip-candy-this-valentines-day-here-are-some-healthier-options</v>
      </c>
      <c r="C283" s="2" t="s">
        <v>1131</v>
      </c>
      <c r="D283" s="3">
        <v>45335.215532407397</v>
      </c>
      <c r="E283" s="2" t="s">
        <v>612</v>
      </c>
    </row>
    <row r="284" spans="1:5" ht="126" x14ac:dyDescent="0.2">
      <c r="A284" s="2" t="s">
        <v>610</v>
      </c>
      <c r="B284" s="2" t="str">
        <f>HYPERLINK("https://knpr.org/npr/2024-02-13/skip-candy-this-valentines-day-here-are-some-healthier-options")</f>
        <v>https://knpr.org/npr/2024-02-13/skip-candy-this-valentines-day-here-are-some-healthier-options</v>
      </c>
      <c r="C284" s="2" t="s">
        <v>1724</v>
      </c>
      <c r="D284" s="3">
        <v>45335.215532407397</v>
      </c>
      <c r="E284" s="2" t="s">
        <v>612</v>
      </c>
    </row>
    <row r="285" spans="1:5" ht="126" x14ac:dyDescent="0.2">
      <c r="A285" s="2" t="s">
        <v>610</v>
      </c>
      <c r="B285" s="2" t="str">
        <f>HYPERLINK("https://www.wxxinews.org/npr-arts-life/2024-02-13/skip-candy-this-valentines-day-here-are-some-healthier-options")</f>
        <v>https://www.wxxinews.org/npr-arts-life/2024-02-13/skip-candy-this-valentines-day-here-are-some-healthier-options</v>
      </c>
      <c r="C285" s="2" t="s">
        <v>1924</v>
      </c>
      <c r="D285" s="3">
        <v>45335.215543981481</v>
      </c>
      <c r="E285" s="2" t="s">
        <v>612</v>
      </c>
    </row>
    <row r="286" spans="1:5" ht="126" x14ac:dyDescent="0.2">
      <c r="A286" s="2" t="s">
        <v>610</v>
      </c>
      <c r="B286" s="2" t="str">
        <f>HYPERLINK("https://www.wfae.org/united-states-world/2024-02-13/skip-candy-this-valentines-day-here-are-some-healthier-options")</f>
        <v>https://www.wfae.org/united-states-world/2024-02-13/skip-candy-this-valentines-day-here-are-some-healthier-options</v>
      </c>
      <c r="C286" s="2" t="s">
        <v>2117</v>
      </c>
      <c r="D286" s="3">
        <v>45335.215879629628</v>
      </c>
      <c r="E286" s="2" t="s">
        <v>612</v>
      </c>
    </row>
    <row r="287" spans="1:5" ht="126" x14ac:dyDescent="0.2">
      <c r="A287" s="2" t="s">
        <v>610</v>
      </c>
      <c r="B287" s="2" t="str">
        <f>HYPERLINK("https://www.lakeshorepublicmedia.org/npr-news/2024-02-13/skip-candy-this-valentines-day-here-are-some-healthier-options")</f>
        <v>https://www.lakeshorepublicmedia.org/npr-news/2024-02-13/skip-candy-this-valentines-day-here-are-some-healthier-options</v>
      </c>
      <c r="C287" s="2" t="s">
        <v>1238</v>
      </c>
      <c r="D287" s="3">
        <v>45335.215925925928</v>
      </c>
      <c r="E287" s="2" t="s">
        <v>612</v>
      </c>
    </row>
    <row r="288" spans="1:5" ht="126" x14ac:dyDescent="0.2">
      <c r="A288" s="2" t="s">
        <v>610</v>
      </c>
      <c r="B288" s="2" t="str">
        <f>HYPERLINK("https://www.knau.org/npr-news/2024-02-13/skip-candy-this-valentines-day-here-are-some-healthier-options")</f>
        <v>https://www.knau.org/npr-news/2024-02-13/skip-candy-this-valentines-day-here-are-some-healthier-options</v>
      </c>
      <c r="C288" s="2" t="s">
        <v>1538</v>
      </c>
      <c r="D288" s="3">
        <v>45335.215949074067</v>
      </c>
      <c r="E288" s="2" t="s">
        <v>612</v>
      </c>
    </row>
    <row r="289" spans="1:5" ht="126" x14ac:dyDescent="0.2">
      <c r="A289" s="2" t="s">
        <v>610</v>
      </c>
      <c r="B289" s="2" t="str">
        <f>HYPERLINK("https://www.kuaf.com/npr-news/2024-02-13/skip-candy-this-valentines-day-here-are-some-healthier-options")</f>
        <v>https://www.kuaf.com/npr-news/2024-02-13/skip-candy-this-valentines-day-here-are-some-healthier-options</v>
      </c>
      <c r="C289" s="2" t="s">
        <v>1473</v>
      </c>
      <c r="D289" s="3">
        <v>45335.215983796297</v>
      </c>
      <c r="E289" s="2" t="s">
        <v>612</v>
      </c>
    </row>
    <row r="290" spans="1:5" ht="126" x14ac:dyDescent="0.2">
      <c r="A290" s="2" t="s">
        <v>610</v>
      </c>
      <c r="B290" s="2" t="str">
        <f>HYPERLINK("https://www.publicradiotulsa.org/npr-national-news/2024-02-13/skip-candy-this-valentines-day-here-are-some-healthier-options")</f>
        <v>https://www.publicradiotulsa.org/npr-national-news/2024-02-13/skip-candy-this-valentines-day-here-are-some-healthier-options</v>
      </c>
      <c r="C290" s="2" t="s">
        <v>1589</v>
      </c>
      <c r="D290" s="3">
        <v>45335.216192129628</v>
      </c>
      <c r="E290" s="2" t="s">
        <v>612</v>
      </c>
    </row>
    <row r="291" spans="1:5" ht="126" x14ac:dyDescent="0.2">
      <c r="A291" s="2" t="s">
        <v>610</v>
      </c>
      <c r="B291" s="2" t="str">
        <f>HYPERLINK("https://www.wdiy.org/npr-news/2024-02-13/skip-candy-this-valentines-day-here-are-some-healthier-options")</f>
        <v>https://www.wdiy.org/npr-news/2024-02-13/skip-candy-this-valentines-day-here-are-some-healthier-options</v>
      </c>
      <c r="C291" s="2" t="s">
        <v>1108</v>
      </c>
      <c r="D291" s="3">
        <v>45335.216284722221</v>
      </c>
      <c r="E291" s="2" t="s">
        <v>612</v>
      </c>
    </row>
    <row r="292" spans="1:5" ht="126" x14ac:dyDescent="0.2">
      <c r="A292" s="2" t="s">
        <v>610</v>
      </c>
      <c r="B292" s="2" t="str">
        <f>HYPERLINK("https://www.delmarvapublicmedia.org/2024-02-13/skip-candy-this-valentines-day-here-are-some-healthier-options")</f>
        <v>https://www.delmarvapublicmedia.org/2024-02-13/skip-candy-this-valentines-day-here-are-some-healthier-options</v>
      </c>
      <c r="C292" s="2" t="s">
        <v>719</v>
      </c>
      <c r="D292" s="3">
        <v>45335.216446759259</v>
      </c>
      <c r="E292" s="2" t="s">
        <v>612</v>
      </c>
    </row>
    <row r="293" spans="1:5" ht="126" x14ac:dyDescent="0.2">
      <c r="A293" s="2" t="s">
        <v>610</v>
      </c>
      <c r="B293" s="2" t="str">
        <f>HYPERLINK("https://www.wuwf.org/2024-02-13/skip-candy-this-valentines-day-here-are-some-healthier-options")</f>
        <v>https://www.wuwf.org/2024-02-13/skip-candy-this-valentines-day-here-are-some-healthier-options</v>
      </c>
      <c r="C293" s="2" t="s">
        <v>1288</v>
      </c>
      <c r="D293" s="3">
        <v>45335.216446759259</v>
      </c>
      <c r="E293" s="2" t="s">
        <v>612</v>
      </c>
    </row>
    <row r="294" spans="1:5" ht="126" x14ac:dyDescent="0.2">
      <c r="A294" s="2" t="s">
        <v>610</v>
      </c>
      <c r="B294" s="2" t="str">
        <f>HYPERLINK("https://www.kunr.org/u-s-headlines/2024-02-13/skip-candy-this-valentines-day-here-are-some-healthier-options")</f>
        <v>https://www.kunr.org/u-s-headlines/2024-02-13/skip-candy-this-valentines-day-here-are-some-healthier-options</v>
      </c>
      <c r="C294" s="2" t="s">
        <v>1574</v>
      </c>
      <c r="D294" s="3">
        <v>45335.216504629629</v>
      </c>
      <c r="E294" s="2" t="s">
        <v>612</v>
      </c>
    </row>
    <row r="295" spans="1:5" ht="126" x14ac:dyDescent="0.2">
      <c r="A295" s="2" t="s">
        <v>610</v>
      </c>
      <c r="B295" s="2" t="str">
        <f>HYPERLINK("https://www.wsiu.org/2024-02-13/skip-candy-this-valentines-day-here-are-some-healthier-options")</f>
        <v>https://www.wsiu.org/2024-02-13/skip-candy-this-valentines-day-here-are-some-healthier-options</v>
      </c>
      <c r="C295" s="2" t="s">
        <v>1243</v>
      </c>
      <c r="D295" s="3">
        <v>45335.216874999998</v>
      </c>
      <c r="E295" s="2" t="s">
        <v>612</v>
      </c>
    </row>
    <row r="296" spans="1:5" ht="126" x14ac:dyDescent="0.2">
      <c r="A296" s="2" t="s">
        <v>610</v>
      </c>
      <c r="B296" s="2" t="str">
        <f>HYPERLINK("https://www.delawarepublic.org/npr-headlines/2024-02-13/skip-candy-this-valentines-day-here-are-some-healthier-options")</f>
        <v>https://www.delawarepublic.org/npr-headlines/2024-02-13/skip-candy-this-valentines-day-here-are-some-healthier-options</v>
      </c>
      <c r="C296" s="2" t="s">
        <v>1449</v>
      </c>
      <c r="D296" s="3">
        <v>45335.217141203713</v>
      </c>
      <c r="E296" s="2" t="s">
        <v>612</v>
      </c>
    </row>
    <row r="297" spans="1:5" ht="126" x14ac:dyDescent="0.2">
      <c r="A297" s="2" t="s">
        <v>610</v>
      </c>
      <c r="B297" s="2" t="str">
        <f>HYPERLINK("https://www.kvpr.org/arts-culture/2024-02-13/skip-candy-this-valentines-day-here-are-some-healthier-options")</f>
        <v>https://www.kvpr.org/arts-culture/2024-02-13/skip-candy-this-valentines-day-here-are-some-healthier-options</v>
      </c>
      <c r="C297" s="2" t="s">
        <v>1253</v>
      </c>
      <c r="D297" s="3">
        <v>45335.217372685183</v>
      </c>
      <c r="E297" s="2" t="s">
        <v>612</v>
      </c>
    </row>
    <row r="298" spans="1:5" ht="126" x14ac:dyDescent="0.2">
      <c r="A298" s="2" t="s">
        <v>610</v>
      </c>
      <c r="B298" s="2" t="str">
        <f>HYPERLINK("https://www.bpr.org/npr-news/2024-02-13/skip-candy-this-valentines-day-here-are-some-healthier-options")</f>
        <v>https://www.bpr.org/npr-news/2024-02-13/skip-candy-this-valentines-day-here-are-some-healthier-options</v>
      </c>
      <c r="C298" s="2" t="s">
        <v>1659</v>
      </c>
      <c r="D298" s="3">
        <v>45335.21738425926</v>
      </c>
      <c r="E298" s="2" t="s">
        <v>612</v>
      </c>
    </row>
    <row r="299" spans="1:5" ht="126" x14ac:dyDescent="0.2">
      <c r="A299" s="2" t="s">
        <v>610</v>
      </c>
      <c r="B299" s="2" t="str">
        <f>HYPERLINK("https://www.kvnf.org/npr-news/2024-02-13/skip-candy-this-valentines-day-here-are-some-healthier-options")</f>
        <v>https://www.kvnf.org/npr-news/2024-02-13/skip-candy-this-valentines-day-here-are-some-healthier-options</v>
      </c>
      <c r="C299" s="2" t="s">
        <v>910</v>
      </c>
      <c r="D299" s="3">
        <v>45335.217847222222</v>
      </c>
      <c r="E299" s="2" t="s">
        <v>612</v>
      </c>
    </row>
    <row r="300" spans="1:5" ht="126" x14ac:dyDescent="0.2">
      <c r="A300" s="2" t="s">
        <v>610</v>
      </c>
      <c r="B300" s="2" t="str">
        <f>HYPERLINK("https://www.wknofm.org/2024-02-13/skip-candy-this-valentines-day-here-are-some-healthier-options")</f>
        <v>https://www.wknofm.org/2024-02-13/skip-candy-this-valentines-day-here-are-some-healthier-options</v>
      </c>
      <c r="C300" s="2" t="s">
        <v>1065</v>
      </c>
      <c r="D300" s="3">
        <v>45335.21806712963</v>
      </c>
      <c r="E300" s="2" t="s">
        <v>612</v>
      </c>
    </row>
    <row r="301" spans="1:5" ht="126" x14ac:dyDescent="0.2">
      <c r="A301" s="2" t="s">
        <v>610</v>
      </c>
      <c r="B301" s="2" t="str">
        <f>HYPERLINK("https://www.wuga.org/national-news/2024-02-13/skip-candy-this-valentines-day-here-are-some-healthier-options")</f>
        <v>https://www.wuga.org/national-news/2024-02-13/skip-candy-this-valentines-day-here-are-some-healthier-options</v>
      </c>
      <c r="C301" s="2" t="s">
        <v>1113</v>
      </c>
      <c r="D301" s="3">
        <v>45335.218229166669</v>
      </c>
      <c r="E301" s="2" t="s">
        <v>612</v>
      </c>
    </row>
    <row r="302" spans="1:5" ht="126" x14ac:dyDescent="0.2">
      <c r="A302" s="2" t="s">
        <v>610</v>
      </c>
      <c r="B302" s="2" t="str">
        <f>HYPERLINK("https://www.kbbi.org/npr-news/2024-02-13/skip-candy-this-valentines-day-here-are-some-healthier-options")</f>
        <v>https://www.kbbi.org/npr-news/2024-02-13/skip-candy-this-valentines-day-here-are-some-healthier-options</v>
      </c>
      <c r="C302" s="2" t="s">
        <v>901</v>
      </c>
      <c r="D302" s="3">
        <v>45335.218993055547</v>
      </c>
      <c r="E302" s="2" t="s">
        <v>612</v>
      </c>
    </row>
    <row r="303" spans="1:5" ht="126" x14ac:dyDescent="0.2">
      <c r="A303" s="2" t="s">
        <v>610</v>
      </c>
      <c r="B303" s="2" t="str">
        <f>HYPERLINK("https://fm.kuac.org/npr-news/2024-02-13/skip-candy-this-valentines-day-here-are-some-healthier-options")</f>
        <v>https://fm.kuac.org/npr-news/2024-02-13/skip-candy-this-valentines-day-here-are-some-healthier-options</v>
      </c>
      <c r="C303" s="2" t="s">
        <v>882</v>
      </c>
      <c r="D303" s="3">
        <v>45335.21912037037</v>
      </c>
      <c r="E303" s="2" t="s">
        <v>612</v>
      </c>
    </row>
    <row r="304" spans="1:5" ht="126" x14ac:dyDescent="0.2">
      <c r="A304" s="2" t="s">
        <v>610</v>
      </c>
      <c r="B304" s="2" t="str">
        <f>HYPERLINK("https://www.wyso.org/2024-02-13/skip-candy-this-valentines-day-here-are-some-healthier-options")</f>
        <v>https://www.wyso.org/2024-02-13/skip-candy-this-valentines-day-here-are-some-healthier-options</v>
      </c>
      <c r="C304" s="2" t="s">
        <v>1639</v>
      </c>
      <c r="D304" s="3">
        <v>45335.220625000002</v>
      </c>
      <c r="E304" s="2" t="s">
        <v>612</v>
      </c>
    </row>
    <row r="305" spans="1:5" ht="98" x14ac:dyDescent="0.2">
      <c r="A305" s="2" t="s">
        <v>610</v>
      </c>
      <c r="B305" s="2" t="str">
        <f>HYPERLINK("https://www.gpb.org/news/2024/02/13/skip-candy-valentines-day-here-are-some-healthier-options")</f>
        <v>https://www.gpb.org/news/2024/02/13/skip-candy-valentines-day-here-are-some-healthier-options</v>
      </c>
      <c r="C305" s="2" t="s">
        <v>2512</v>
      </c>
      <c r="D305" s="3">
        <v>45335.221319444441</v>
      </c>
      <c r="E305" s="2" t="s">
        <v>154</v>
      </c>
    </row>
    <row r="306" spans="1:5" ht="126" x14ac:dyDescent="0.2">
      <c r="A306" s="2" t="s">
        <v>610</v>
      </c>
      <c r="B306" s="2" t="str">
        <f>HYPERLINK("https://news.wfsu.org/all-npr-news/2024-02-13/skip-candy-this-valentines-day-here-are-some-healthier-options")</f>
        <v>https://news.wfsu.org/all-npr-news/2024-02-13/skip-candy-this-valentines-day-here-are-some-healthier-options</v>
      </c>
      <c r="C306" s="2" t="s">
        <v>1707</v>
      </c>
      <c r="D306" s="3">
        <v>45335.221585648149</v>
      </c>
      <c r="E306" s="2" t="s">
        <v>612</v>
      </c>
    </row>
    <row r="307" spans="1:5" ht="126" x14ac:dyDescent="0.2">
      <c r="A307" s="2" t="s">
        <v>610</v>
      </c>
      <c r="B307" s="2" t="str">
        <f>HYPERLINK("https://www.ksut.org/2024-02-13/skip-candy-this-valentines-day-here-are-some-healthier-options")</f>
        <v>https://www.ksut.org/2024-02-13/skip-candy-this-valentines-day-here-are-some-healthier-options</v>
      </c>
      <c r="C307" s="2" t="s">
        <v>1169</v>
      </c>
      <c r="D307" s="3">
        <v>45335.221724537027</v>
      </c>
      <c r="E307" s="2" t="s">
        <v>612</v>
      </c>
    </row>
    <row r="308" spans="1:5" ht="126" x14ac:dyDescent="0.2">
      <c r="A308" s="2" t="s">
        <v>610</v>
      </c>
      <c r="B308" s="2" t="str">
        <f>HYPERLINK("https://www.krwg.org/national-news/2024-02-13/skip-candy-this-valentines-day-here-are-some-healthier-options")</f>
        <v>https://www.krwg.org/national-news/2024-02-13/skip-candy-this-valentines-day-here-are-some-healthier-options</v>
      </c>
      <c r="C308" s="2" t="s">
        <v>1254</v>
      </c>
      <c r="D308" s="3">
        <v>45335.222210648149</v>
      </c>
      <c r="E308" s="2" t="s">
        <v>612</v>
      </c>
    </row>
    <row r="309" spans="1:5" ht="126" x14ac:dyDescent="0.2">
      <c r="A309" s="2" t="s">
        <v>610</v>
      </c>
      <c r="B309" s="2" t="str">
        <f>HYPERLINK("https://www.krvs.org/arts-culture/2024-02-13/skip-candy-this-valentines-day-here-are-some-healthier-options")</f>
        <v>https://www.krvs.org/arts-culture/2024-02-13/skip-candy-this-valentines-day-here-are-some-healthier-options</v>
      </c>
      <c r="C309" s="2" t="s">
        <v>867</v>
      </c>
      <c r="D309" s="3">
        <v>45335.227106481478</v>
      </c>
      <c r="E309" s="2" t="s">
        <v>612</v>
      </c>
    </row>
    <row r="310" spans="1:5" ht="126" x14ac:dyDescent="0.2">
      <c r="A310" s="2" t="s">
        <v>610</v>
      </c>
      <c r="B310" s="2" t="str">
        <f>HYPERLINK("https://www.wrvo.org/2024-02-13/skip-candy-this-valentines-day-here-are-some-healthier-options")</f>
        <v>https://www.wrvo.org/2024-02-13/skip-candy-this-valentines-day-here-are-some-healthier-options</v>
      </c>
      <c r="C310" s="2" t="s">
        <v>1419</v>
      </c>
      <c r="D310" s="3">
        <v>45335.229675925933</v>
      </c>
      <c r="E310" s="2" t="s">
        <v>612</v>
      </c>
    </row>
    <row r="311" spans="1:5" ht="98" x14ac:dyDescent="0.2">
      <c r="A311" s="2" t="s">
        <v>610</v>
      </c>
      <c r="B311" s="2" t="str">
        <f>HYPERLINK("https://www.wpr.org/news/skip-candy-this-valentines-day-here-are-some-healthier-options")</f>
        <v>https://www.wpr.org/news/skip-candy-this-valentines-day-here-are-some-healthier-options</v>
      </c>
      <c r="C311" s="2" t="s">
        <v>2834</v>
      </c>
      <c r="D311" s="3">
        <v>45335.229872685188</v>
      </c>
      <c r="E311" s="2" t="s">
        <v>113</v>
      </c>
    </row>
    <row r="312" spans="1:5" ht="126" x14ac:dyDescent="0.2">
      <c r="A312" s="2" t="s">
        <v>610</v>
      </c>
      <c r="B312" s="2" t="str">
        <f>HYPERLINK("https://www.wesa.fm/2024-02-13/skip-candy-this-valentines-day-here-are-some-healthier-options")</f>
        <v>https://www.wesa.fm/2024-02-13/skip-candy-this-valentines-day-here-are-some-healthier-options</v>
      </c>
      <c r="C312" s="2" t="s">
        <v>2424</v>
      </c>
      <c r="D312" s="3">
        <v>45335.231620370367</v>
      </c>
      <c r="E312" s="2" t="s">
        <v>612</v>
      </c>
    </row>
    <row r="313" spans="1:5" ht="98" x14ac:dyDescent="0.2">
      <c r="A313" s="2" t="s">
        <v>610</v>
      </c>
      <c r="B313" s="2" t="str">
        <f>HYPERLINK("https://www.wglt.org/2024-02-13/skip-candy-this-valentines-day-here-are-some-healthier-options")</f>
        <v>https://www.wglt.org/2024-02-13/skip-candy-this-valentines-day-here-are-some-healthier-options</v>
      </c>
      <c r="C313" s="2" t="s">
        <v>1951</v>
      </c>
      <c r="D313" s="3">
        <v>45335.233472222222</v>
      </c>
      <c r="E313" s="2" t="s">
        <v>154</v>
      </c>
    </row>
    <row r="314" spans="1:5" ht="56" x14ac:dyDescent="0.2">
      <c r="A314" s="2" t="s">
        <v>475</v>
      </c>
      <c r="B314" s="2" t="str">
        <f>HYPERLINK("https://goodwordnews.com/healthier-alternatives-to-valentines-day-candy-npr/")</f>
        <v>https://goodwordnews.com/healthier-alternatives-to-valentines-day-candy-npr/</v>
      </c>
      <c r="C314" s="2" t="s">
        <v>472</v>
      </c>
      <c r="D314" s="3">
        <v>45335.235127314823</v>
      </c>
      <c r="E314" s="2" t="s">
        <v>476</v>
      </c>
    </row>
    <row r="315" spans="1:5" ht="126" x14ac:dyDescent="0.2">
      <c r="A315" s="2" t="s">
        <v>610</v>
      </c>
      <c r="B315" s="2" t="str">
        <f>HYPERLINK("https://www.ideastream.org/2024-02-13/skip-candy-this-valentines-day-here-are-some-healthier-options")</f>
        <v>https://www.ideastream.org/2024-02-13/skip-candy-this-valentines-day-here-are-some-healthier-options</v>
      </c>
      <c r="C315" s="2" t="s">
        <v>2187</v>
      </c>
      <c r="D315" s="3">
        <v>45335.242581018523</v>
      </c>
      <c r="E315" s="2" t="s">
        <v>612</v>
      </c>
    </row>
    <row r="316" spans="1:5" ht="126" x14ac:dyDescent="0.2">
      <c r="A316" s="2" t="s">
        <v>610</v>
      </c>
      <c r="B316" s="2" t="str">
        <f>HYPERLINK("https://www.ksfr.org/npr-news/2024-02-13/skip-candy-this-valentines-day-here-are-some-healthier-options")</f>
        <v>https://www.ksfr.org/npr-news/2024-02-13/skip-candy-this-valentines-day-here-are-some-healthier-options</v>
      </c>
      <c r="C316" s="2" t="s">
        <v>1103</v>
      </c>
      <c r="D316" s="3">
        <v>45335.244641203702</v>
      </c>
      <c r="E316" s="2" t="s">
        <v>612</v>
      </c>
    </row>
    <row r="317" spans="1:5" ht="126" x14ac:dyDescent="0.2">
      <c r="A317" s="2" t="s">
        <v>610</v>
      </c>
      <c r="B317" s="2" t="str">
        <f>HYPERLINK("https://www.wypr.org/wypr-arts/2024-02-13/skip-candy-this-valentines-day-here-are-some-healthier-options")</f>
        <v>https://www.wypr.org/wypr-arts/2024-02-13/skip-candy-this-valentines-day-here-are-some-healthier-options</v>
      </c>
      <c r="C317" s="2" t="s">
        <v>1495</v>
      </c>
      <c r="D317" s="3">
        <v>45335.247048611112</v>
      </c>
      <c r="E317" s="2" t="s">
        <v>612</v>
      </c>
    </row>
    <row r="318" spans="1:5" ht="126" x14ac:dyDescent="0.2">
      <c r="A318" s="2" t="s">
        <v>610</v>
      </c>
      <c r="B318" s="2" t="str">
        <f>HYPERLINK("https://www.nhpr.org/2024-02-13/skip-candy-this-valentines-day-here-are-some-healthier-options")</f>
        <v>https://www.nhpr.org/2024-02-13/skip-candy-this-valentines-day-here-are-some-healthier-options</v>
      </c>
      <c r="C318" s="2" t="s">
        <v>2323</v>
      </c>
      <c r="D318" s="3">
        <v>45335.247476851851</v>
      </c>
      <c r="E318" s="2" t="s">
        <v>612</v>
      </c>
    </row>
    <row r="319" spans="1:5" ht="126" x14ac:dyDescent="0.2">
      <c r="A319" s="2" t="s">
        <v>610</v>
      </c>
      <c r="B319" s="2" t="str">
        <f>HYPERLINK("https://www.hawaiipublicradio.org/npr-news/2024-02-13/skip-candy-this-valentines-day-here-are-some-healthier-options")</f>
        <v>https://www.hawaiipublicradio.org/npr-news/2024-02-13/skip-candy-this-valentines-day-here-are-some-healthier-options</v>
      </c>
      <c r="C319" s="2" t="s">
        <v>2009</v>
      </c>
      <c r="D319" s="3">
        <v>45335.25203703704</v>
      </c>
      <c r="E319" s="2" t="s">
        <v>612</v>
      </c>
    </row>
    <row r="320" spans="1:5" ht="126" x14ac:dyDescent="0.2">
      <c r="A320" s="2" t="s">
        <v>610</v>
      </c>
      <c r="B320" s="2" t="str">
        <f>HYPERLINK("https://www.wlrn.org/npr-breaking-news/2024-02-13/skip-candy-this-valentines-day-here-are-some-healthier-options")</f>
        <v>https://www.wlrn.org/npr-breaking-news/2024-02-13/skip-candy-this-valentines-day-here-are-some-healthier-options</v>
      </c>
      <c r="C320" s="2" t="s">
        <v>2277</v>
      </c>
      <c r="D320" s="3">
        <v>45335.255925925929</v>
      </c>
      <c r="E320" s="2" t="s">
        <v>612</v>
      </c>
    </row>
    <row r="321" spans="1:5" ht="126" x14ac:dyDescent="0.2">
      <c r="A321" s="2" t="s">
        <v>610</v>
      </c>
      <c r="B321" s="2" t="str">
        <f>HYPERLINK("https://www.southcarolinapublicradio.org/2024-02-13/skip-candy-this-valentines-day-here-are-some-healthier-options")</f>
        <v>https://www.southcarolinapublicradio.org/2024-02-13/skip-candy-this-valentines-day-here-are-some-healthier-options</v>
      </c>
      <c r="C321" s="2" t="s">
        <v>1747</v>
      </c>
      <c r="D321" s="3">
        <v>45335.287233796298</v>
      </c>
      <c r="E321" s="2" t="s">
        <v>612</v>
      </c>
    </row>
    <row r="322" spans="1:5" ht="126" x14ac:dyDescent="0.2">
      <c r="A322" s="2" t="s">
        <v>610</v>
      </c>
      <c r="B322" s="2" t="str">
        <f>HYPERLINK("https://www.wgvunews.org/2024-02-13/skip-candy-this-valentines-day-here-are-some-healthier-options")</f>
        <v>https://www.wgvunews.org/2024-02-13/skip-candy-this-valentines-day-here-are-some-healthier-options</v>
      </c>
      <c r="C322" s="2" t="s">
        <v>1048</v>
      </c>
      <c r="D322" s="3">
        <v>45335.287407407413</v>
      </c>
      <c r="E322" s="2" t="s">
        <v>612</v>
      </c>
    </row>
    <row r="323" spans="1:5" ht="126" x14ac:dyDescent="0.2">
      <c r="A323" s="2" t="s">
        <v>610</v>
      </c>
      <c r="B323" s="2" t="str">
        <f>HYPERLINK("https://www.wshu.org/npr-news/2024-02-13/skip-candy-this-valentines-day-here-are-some-healthier-options")</f>
        <v>https://www.wshu.org/npr-news/2024-02-13/skip-candy-this-valentines-day-here-are-some-healthier-options</v>
      </c>
      <c r="C323" s="2" t="s">
        <v>1704</v>
      </c>
      <c r="D323" s="3">
        <v>45335.296956018523</v>
      </c>
      <c r="E323" s="2" t="s">
        <v>612</v>
      </c>
    </row>
    <row r="324" spans="1:5" ht="126" x14ac:dyDescent="0.2">
      <c r="A324" s="2" t="s">
        <v>610</v>
      </c>
      <c r="B324" s="2" t="str">
        <f>HYPERLINK("https://www.wqln.org/culture/2024-02-13/skip-candy-this-valentines-day-here-are-some-healthier-options")</f>
        <v>https://www.wqln.org/culture/2024-02-13/skip-candy-this-valentines-day-here-are-some-healthier-options</v>
      </c>
      <c r="C324" s="2" t="s">
        <v>1009</v>
      </c>
      <c r="D324" s="3">
        <v>45335.297500000001</v>
      </c>
      <c r="E324" s="2" t="s">
        <v>612</v>
      </c>
    </row>
    <row r="325" spans="1:5" ht="98" x14ac:dyDescent="0.2">
      <c r="A325" s="2" t="s">
        <v>111</v>
      </c>
      <c r="B325" s="2" t="str">
        <f>HYPERLINK("https://us.knews.media/news/healthier-alternatives-to-valentines-day-candy-npr/")</f>
        <v>https://us.knews.media/news/healthier-alternatives-to-valentines-day-candy-npr/</v>
      </c>
      <c r="C325" s="2" t="s">
        <v>112</v>
      </c>
      <c r="D325" s="3">
        <v>45335.325162037043</v>
      </c>
      <c r="E325" s="2" t="s">
        <v>113</v>
      </c>
    </row>
    <row r="326" spans="1:5" ht="98" x14ac:dyDescent="0.2">
      <c r="A326" s="2" t="s">
        <v>610</v>
      </c>
      <c r="B326" s="2" t="str">
        <f>HYPERLINK("https://www.newsbreak.com/news/3332086899699-skip-candy-this-valentine-s-day-here-are-some-healthier-options")</f>
        <v>https://www.newsbreak.com/news/3332086899699-skip-candy-this-valentine-s-day-here-are-some-healthier-options</v>
      </c>
      <c r="C326" s="2" t="s">
        <v>3461</v>
      </c>
      <c r="D326" s="3">
        <v>45335.417175925933</v>
      </c>
      <c r="E326" s="2" t="s">
        <v>3489</v>
      </c>
    </row>
    <row r="327" spans="1:5" ht="98" x14ac:dyDescent="0.2">
      <c r="A327" s="2" t="s">
        <v>610</v>
      </c>
      <c r="B327" s="2" t="str">
        <f>HYPERLINK("https://www.wgbh.org/lifestyle/2024-02-13/skip-candy-this-valentines-day-here-are-some-healthier-options")</f>
        <v>https://www.wgbh.org/lifestyle/2024-02-13/skip-candy-this-valentines-day-here-are-some-healthier-options</v>
      </c>
      <c r="C327" s="2" t="s">
        <v>2746</v>
      </c>
      <c r="D327" s="3">
        <v>45335.457916666674</v>
      </c>
      <c r="E327" s="2" t="s">
        <v>154</v>
      </c>
    </row>
    <row r="328" spans="1:5" ht="98" x14ac:dyDescent="0.2">
      <c r="A328" s="2" t="s">
        <v>153</v>
      </c>
      <c r="B328" s="2" t="str">
        <f>HYPERLINK("https://vervetimes.com/healthier-alternatives-to-valentines-day-candy-npr/")</f>
        <v>https://vervetimes.com/healthier-alternatives-to-valentines-day-candy-npr/</v>
      </c>
      <c r="C328" s="2" t="s">
        <v>468</v>
      </c>
      <c r="D328" s="3">
        <v>45335.46497685185</v>
      </c>
      <c r="E328" s="2" t="s">
        <v>113</v>
      </c>
    </row>
    <row r="329" spans="1:5" ht="56" x14ac:dyDescent="0.2">
      <c r="A329" s="2" t="s">
        <v>610</v>
      </c>
      <c r="B329" s="2" t="str">
        <f>HYPERLINK("https://www.kuow.org/stories/skip-candy-this-valentine-s-day-here-are-some-healthier-options")</f>
        <v>https://www.kuow.org/stories/skip-candy-this-valentine-s-day-here-are-some-healthier-options</v>
      </c>
      <c r="C329" s="2" t="s">
        <v>2522</v>
      </c>
      <c r="D329" s="3">
        <v>45335.485856481479</v>
      </c>
      <c r="E329" s="2" t="s">
        <v>2523</v>
      </c>
    </row>
    <row r="330" spans="1:5" ht="70" x14ac:dyDescent="0.2">
      <c r="A330" s="2" t="s">
        <v>3213</v>
      </c>
      <c r="B330" s="2" t="str">
        <f>HYPERLINK("https://www.g4media.ro/renunta-la-bomboane-de-ziua-indragostitilor-iata-cateva-optiuni-mai-sanatoase.html")</f>
        <v>https://www.g4media.ro/renunta-la-bomboane-de-ziua-indragostitilor-iata-cateva-optiuni-mai-sanatoase.html</v>
      </c>
      <c r="C330" s="2" t="s">
        <v>3214</v>
      </c>
      <c r="D330" s="3">
        <v>45335.613969907397</v>
      </c>
      <c r="E330" s="2" t="s">
        <v>3215</v>
      </c>
    </row>
    <row r="331" spans="1:5" ht="126" x14ac:dyDescent="0.2">
      <c r="A331" s="2" t="s">
        <v>610</v>
      </c>
      <c r="B331" s="2" t="str">
        <f>HYPERLINK("https://www.wvxu.org/news-from-npr/2024-02-13/skip-candy-this-valentines-day-here-are-some-healthier-options")</f>
        <v>https://www.wvxu.org/news-from-npr/2024-02-13/skip-candy-this-valentines-day-here-are-some-healthier-options</v>
      </c>
      <c r="C331" s="2" t="s">
        <v>2134</v>
      </c>
      <c r="D331" s="3">
        <v>45335.641423611109</v>
      </c>
      <c r="E331" s="2" t="s">
        <v>612</v>
      </c>
    </row>
    <row r="332" spans="1:5" ht="84" x14ac:dyDescent="0.2">
      <c r="A332" s="2" t="s">
        <v>247</v>
      </c>
      <c r="B332" s="2" t="str">
        <f>HYPERLINK("https://germanic.news/verzichten-sie-an-diesem-valentinstag-auf-susigkeiten-hier-sind-einige-gesundere-optionen-laist-nachrichten-fur-sudkalifornien/")</f>
        <v>https://germanic.news/verzichten-sie-an-diesem-valentinstag-auf-susigkeiten-hier-sind-einige-gesundere-optionen-laist-nachrichten-fur-sudkalifornien/</v>
      </c>
      <c r="C332" s="2" t="s">
        <v>243</v>
      </c>
      <c r="D332" s="3">
        <v>45335.824004629627</v>
      </c>
      <c r="E332" s="2" t="s">
        <v>248</v>
      </c>
    </row>
    <row r="333" spans="1:5" ht="70" x14ac:dyDescent="0.2">
      <c r="A333" s="2" t="s">
        <v>3213</v>
      </c>
      <c r="B333" s="2" t="str">
        <f>HYPERLINK("https://newsbv.ro/renunta-bomboane-ziua-indragostitilor-iata-cateva-optiuni-sanatoase/")</f>
        <v>https://newsbv.ro/renunta-bomboane-ziua-indragostitilor-iata-cateva-optiuni-sanatoase/</v>
      </c>
      <c r="C333" s="2" t="s">
        <v>3989</v>
      </c>
      <c r="D333" s="3">
        <v>45336.104224537034</v>
      </c>
      <c r="E333" s="2" t="s">
        <v>3215</v>
      </c>
    </row>
    <row r="334" spans="1:5" ht="409.6" x14ac:dyDescent="0.2">
      <c r="A334" s="2" t="s">
        <v>1187</v>
      </c>
      <c r="B334" s="2" t="str">
        <f>HYPERLINK("https://www.ziarelive.ro/stiri/renunta-la-bomboane-de-ziua-indragostitilor-iata-cateva-optiuni-mai-sanatoase.html")</f>
        <v>https://www.ziarelive.ro/stiri/renunta-la-bomboane-de-ziua-indragostitilor-iata-cateva-optiuni-mai-sanatoase.html</v>
      </c>
      <c r="C334" s="2" t="s">
        <v>1188</v>
      </c>
      <c r="D334" s="3">
        <v>45336.16337962963</v>
      </c>
      <c r="E334" s="2" t="s">
        <v>1189</v>
      </c>
    </row>
    <row r="335" spans="1:5" ht="224" x14ac:dyDescent="0.2">
      <c r="A335" s="2" t="s">
        <v>1580</v>
      </c>
      <c r="B335" s="2" t="str">
        <f>HYPERLINK("https://switch4good.org/how-big-food-is-making-you-fat-sick-with-nutrition-legend-marion-nestle/")</f>
        <v>https://switch4good.org/how-big-food-is-making-you-fat-sick-with-nutrition-legend-marion-nestle/</v>
      </c>
      <c r="C335" s="2" t="s">
        <v>1581</v>
      </c>
      <c r="D335" s="3">
        <v>45336.166828703703</v>
      </c>
      <c r="E335" s="2" t="s">
        <v>1582</v>
      </c>
    </row>
    <row r="336" spans="1:5" ht="70" x14ac:dyDescent="0.2">
      <c r="A336" s="2" t="s">
        <v>3334</v>
      </c>
      <c r="B336" s="2" t="str">
        <f>HYPERLINK("https://adevarul.ro/stil-de-viata/magazin/variante-mai-sanatoase-pentru-a-ti-exprima-2339833.html")</f>
        <v>https://adevarul.ro/stil-de-viata/magazin/variante-mai-sanatoase-pentru-a-ti-exprima-2339833.html</v>
      </c>
      <c r="C336" s="2" t="s">
        <v>3335</v>
      </c>
      <c r="D336" s="3">
        <v>45336.228634259263</v>
      </c>
      <c r="E336" s="2" t="s">
        <v>3336</v>
      </c>
    </row>
    <row r="337" spans="1:5" ht="56" x14ac:dyDescent="0.2">
      <c r="A337" s="2" t="s">
        <v>3105</v>
      </c>
      <c r="B337" s="2" t="str">
        <f>HYPERLINK("https://www.nationalgeographic.es/ciencia/2024/02/kombucha-nootropicos-utilidad-real-moda-evidencia-cientifica")</f>
        <v>https://www.nationalgeographic.es/ciencia/2024/02/kombucha-nootropicos-utilidad-real-moda-evidencia-cientifica</v>
      </c>
      <c r="C337" s="2" t="s">
        <v>3106</v>
      </c>
      <c r="D337" s="3">
        <v>45336.275717592587</v>
      </c>
      <c r="E337" s="2" t="s">
        <v>3107</v>
      </c>
    </row>
    <row r="338" spans="1:5" ht="70" x14ac:dyDescent="0.2">
      <c r="A338" s="2" t="s">
        <v>1445</v>
      </c>
      <c r="B338" s="2" t="str">
        <f>HYPERLINK("https://www.nouvelles-du-monde.com/evitez-les-bonbons-pour-la-saint-valentin-voici-quelques-options-plus-saines/")</f>
        <v>https://www.nouvelles-du-monde.com/evitez-les-bonbons-pour-la-saint-valentin-voici-quelques-options-plus-saines/</v>
      </c>
      <c r="C338" s="2" t="s">
        <v>1346</v>
      </c>
      <c r="D338" s="3">
        <v>45336.391388888893</v>
      </c>
      <c r="E338" s="2" t="s">
        <v>1446</v>
      </c>
    </row>
    <row r="339" spans="1:5" ht="70" x14ac:dyDescent="0.2">
      <c r="A339" s="2" t="s">
        <v>2662</v>
      </c>
      <c r="B339" s="2" t="str">
        <f>HYPERLINK("https://www.madata.gr/cooking/glyka/909229-5-ygieines-kai-nostimes-epiloges-gia-na-antikatasthsete-ta-glyka.html")</f>
        <v>https://www.madata.gr/cooking/glyka/909229-5-ygieines-kai-nostimes-epiloges-gia-na-antikatasthsete-ta-glyka.html</v>
      </c>
      <c r="C339" s="2" t="s">
        <v>2663</v>
      </c>
      <c r="D339" s="3">
        <v>45336.418263888889</v>
      </c>
      <c r="E339" s="2" t="s">
        <v>2664</v>
      </c>
    </row>
    <row r="340" spans="1:5" ht="84" x14ac:dyDescent="0.2">
      <c r="A340" s="2" t="s">
        <v>1423</v>
      </c>
      <c r="B340" s="2" t="str">
        <f>HYPERLINK("https://www.readersdigest.in/health-wellness/story-10-nutrition-myths-busted-127717")</f>
        <v>https://www.readersdigest.in/health-wellness/story-10-nutrition-myths-busted-127717</v>
      </c>
      <c r="C340" s="2" t="s">
        <v>1424</v>
      </c>
      <c r="D340" s="3">
        <v>45337.21979166667</v>
      </c>
      <c r="E340" s="2" t="s">
        <v>1425</v>
      </c>
    </row>
    <row r="341" spans="1:5" ht="182" x14ac:dyDescent="0.2">
      <c r="A341" s="2" t="s">
        <v>370</v>
      </c>
      <c r="B341" s="2" t="str">
        <f>HYPERLINK("https://www.eltiempo.com/cultura/gente/es-saludable-la-kombucha-expertos-analizan-beneficios-de-la-bebida-de-moda-855309")</f>
        <v>https://www.eltiempo.com/cultura/gente/es-saludable-la-kombucha-expertos-analizan-beneficios-de-la-bebida-de-moda-855309</v>
      </c>
      <c r="C341" s="2" t="s">
        <v>3540</v>
      </c>
      <c r="D341" s="3">
        <v>45337.525694444441</v>
      </c>
      <c r="E341" s="2" t="s">
        <v>3541</v>
      </c>
    </row>
    <row r="342" spans="1:5" ht="70" x14ac:dyDescent="0.2">
      <c r="A342" s="2" t="s">
        <v>1136</v>
      </c>
      <c r="B342" s="2" t="str">
        <f>HYPERLINK("https://ecozen.gr/2024/02/ipa-ki-omos-pragmatikotita-pleon-to-anaimakto-kreas/")</f>
        <v>https://ecozen.gr/2024/02/ipa-ki-omos-pragmatikotita-pleon-to-anaimakto-kreas/</v>
      </c>
      <c r="C342" s="2" t="s">
        <v>1137</v>
      </c>
      <c r="D342" s="3">
        <v>45338.533229166656</v>
      </c>
      <c r="E342" s="2" t="s">
        <v>1138</v>
      </c>
    </row>
    <row r="343" spans="1:5" ht="56" x14ac:dyDescent="0.2">
      <c r="A343" s="2" t="s">
        <v>3194</v>
      </c>
      <c r="B343" s="2" t="str">
        <f>HYPERLINK("https://www.thisismoney.co.uk/wellness-us/article-13085167/chocolate-not-good-health-flavonols.html")</f>
        <v>https://www.thisismoney.co.uk/wellness-us/article-13085167/chocolate-not-good-health-flavonols.html</v>
      </c>
      <c r="C343" s="2" t="s">
        <v>3195</v>
      </c>
      <c r="D343" s="3">
        <v>45338.751875000002</v>
      </c>
      <c r="E343" s="2" t="s">
        <v>61</v>
      </c>
    </row>
    <row r="344" spans="1:5" ht="56" x14ac:dyDescent="0.2">
      <c r="A344" s="2" t="s">
        <v>59</v>
      </c>
      <c r="B344" s="2" t="str">
        <f>HYPERLINK("https://usajaunnews.com/why-experts-say-theres-no-such-thing-as-healthy-chocolate-and-20-raw-and-extra-dark-varieties-are-just-as-bad-as-hersheys/")</f>
        <v>https://usajaunnews.com/why-experts-say-theres-no-such-thing-as-healthy-chocolate-and-20-raw-and-extra-dark-varieties-are-just-as-bad-as-hersheys/</v>
      </c>
      <c r="C344" s="2" t="s">
        <v>60</v>
      </c>
      <c r="D344" s="3">
        <v>45338.756655092591</v>
      </c>
      <c r="E344" s="2" t="s">
        <v>61</v>
      </c>
    </row>
    <row r="345" spans="1:5" ht="56" x14ac:dyDescent="0.2">
      <c r="A345" s="2" t="s">
        <v>3194</v>
      </c>
      <c r="B345" s="2" t="str">
        <f>HYPERLINK("https://www.dailymail.co.uk/wellness-us/article-13085167/chocolate-not-good-health-flavonols.html")</f>
        <v>https://www.dailymail.co.uk/wellness-us/article-13085167/chocolate-not-good-health-flavonols.html</v>
      </c>
      <c r="C345" s="2" t="s">
        <v>3655</v>
      </c>
      <c r="D345" s="3">
        <v>45338.775821759264</v>
      </c>
      <c r="E345" s="2" t="s">
        <v>61</v>
      </c>
    </row>
    <row r="346" spans="1:5" ht="70" x14ac:dyDescent="0.2">
      <c r="A346" s="2" t="s">
        <v>1766</v>
      </c>
      <c r="B346" s="2" t="str">
        <f>HYPERLINK("https://whatsnew2day.com/why-experts-say-theres-no-such-thing-as-healthy-chocolate-and-20-raw-and-extra-dark-varieties-are-just-as-bad-as-hersheys/")</f>
        <v>https://whatsnew2day.com/why-experts-say-theres-no-such-thing-as-healthy-chocolate-and-20-raw-and-extra-dark-varieties-are-just-as-bad-as-hersheys/</v>
      </c>
      <c r="C346" s="2" t="s">
        <v>1421</v>
      </c>
      <c r="D346" s="3">
        <v>45338.78328703704</v>
      </c>
      <c r="E346" s="2" t="s">
        <v>1767</v>
      </c>
    </row>
    <row r="347" spans="1:5" ht="70" x14ac:dyDescent="0.2">
      <c r="A347" s="2" t="s">
        <v>114</v>
      </c>
      <c r="B347" s="2" t="str">
        <f>HYPERLINK("https://newsnetdaily.com/why-experts-say-theres-no-such-thing-as-healthy-chocolate-and-the-20-raw-and-extra-dark-varieties-are-just-as-bad-as-hersheys/")</f>
        <v>https://newsnetdaily.com/why-experts-say-theres-no-such-thing-as-healthy-chocolate-and-the-20-raw-and-extra-dark-varieties-are-just-as-bad-as-hersheys/</v>
      </c>
      <c r="C347" s="2" t="s">
        <v>6</v>
      </c>
      <c r="D347" s="3">
        <v>45338.81354166667</v>
      </c>
      <c r="E347" s="2" t="s">
        <v>115</v>
      </c>
    </row>
    <row r="348" spans="1:5" ht="70" x14ac:dyDescent="0.2">
      <c r="A348" s="2" t="s">
        <v>3194</v>
      </c>
      <c r="B348" s="2" t="str">
        <f>HYPERLINK("https://www.newsbreak.com/alabama-state/3336842570117-why-experts-say-there-s-no-such-thing-as-healthy-chocolate-and-20-raw-and-extra-dark-varieties-are-just-as-bad-as-hershey-s")</f>
        <v>https://www.newsbreak.com/alabama-state/3336842570117-why-experts-say-there-s-no-such-thing-as-healthy-chocolate-and-20-raw-and-extra-dark-varieties-are-just-as-bad-as-hershey-s</v>
      </c>
      <c r="C348" s="2" t="s">
        <v>3461</v>
      </c>
      <c r="D348" s="3">
        <v>45338.820011574076</v>
      </c>
      <c r="E348" s="2" t="s">
        <v>61</v>
      </c>
    </row>
    <row r="349" spans="1:5" ht="42" x14ac:dyDescent="0.2">
      <c r="A349" s="2" t="s">
        <v>3318</v>
      </c>
      <c r="B349" s="2" t="str">
        <f>HYPERLINK("https://www.fimela.com/food/read/5529761/3-ide-kudapan-sehat-untuk-hadiah-anniversary-bersama-pasangan")</f>
        <v>https://www.fimela.com/food/read/5529761/3-ide-kudapan-sehat-untuk-hadiah-anniversary-bersama-pasangan</v>
      </c>
      <c r="C349" s="2" t="s">
        <v>3319</v>
      </c>
      <c r="D349" s="3">
        <v>45338.830937500003</v>
      </c>
      <c r="E349" s="2" t="s">
        <v>3320</v>
      </c>
    </row>
    <row r="350" spans="1:5" ht="140" x14ac:dyDescent="0.2">
      <c r="A350" s="2" t="s">
        <v>59</v>
      </c>
      <c r="B350" s="2" t="str">
        <f>HYPERLINK("https://www.15minutenews.com/article/2024/02/17/238973702/why-experts-say-theres-no-such-thing-as-healthy-chocolate-and-20-raw-and-extra-dark-varieties-are/")</f>
        <v>https://www.15minutenews.com/article/2024/02/17/238973702/why-experts-say-theres-no-such-thing-as-healthy-chocolate-and-20-raw-and-extra-dark-varieties-are/</v>
      </c>
      <c r="C350" s="2" t="s">
        <v>928</v>
      </c>
      <c r="D350" s="3">
        <v>45338.856493055559</v>
      </c>
      <c r="E350" s="2" t="s">
        <v>929</v>
      </c>
    </row>
    <row r="351" spans="1:5" ht="70" x14ac:dyDescent="0.2">
      <c r="A351" s="2" t="s">
        <v>396</v>
      </c>
      <c r="B351" s="2" t="str">
        <f>HYPERLINK("https://pressnewsagency.org/why-specialists-say-theres-no-such-factor-as-wholesome-chocolate-and-20-uncooked-and-further-darkish-varieties-are-simply-as-dangerous-as-hersheys/")</f>
        <v>https://pressnewsagency.org/why-specialists-say-theres-no-such-factor-as-wholesome-chocolate-and-20-uncooked-and-further-darkish-varieties-are-simply-as-dangerous-as-hersheys/</v>
      </c>
      <c r="C351" s="2" t="s">
        <v>394</v>
      </c>
      <c r="D351" s="3">
        <v>45338.864884259259</v>
      </c>
      <c r="E351" s="2" t="s">
        <v>397</v>
      </c>
    </row>
    <row r="352" spans="1:5" ht="56" x14ac:dyDescent="0.2">
      <c r="A352" s="2" t="s">
        <v>59</v>
      </c>
      <c r="B352" s="2" t="str">
        <f>HYPERLINK("https://pedfire.com/why-experts-say-theres-no-such-thing-as-healthy-chocolate-and-20-raw-and-extra-dark-varieties-are-just-as-bad-as-hersheys/")</f>
        <v>https://pedfire.com/why-experts-say-theres-no-such-thing-as-healthy-chocolate-and-20-raw-and-extra-dark-varieties-are-just-as-bad-as-hersheys/</v>
      </c>
      <c r="C352" s="2" t="s">
        <v>446</v>
      </c>
      <c r="D352" s="3">
        <v>45338.881145833337</v>
      </c>
      <c r="E352" s="2" t="s">
        <v>451</v>
      </c>
    </row>
    <row r="353" spans="1:5" ht="56" x14ac:dyDescent="0.2">
      <c r="A353" s="2" t="s">
        <v>631</v>
      </c>
      <c r="B353" s="2" t="str">
        <f>HYPERLINK("https://newsbeezer.com/why-experts-say-theres-no-such-thing-as-healthy-chocolate-and-20-raw-and-extra-dark-varieties-are-just-as-bad-as-hersheys/")</f>
        <v>https://newsbeezer.com/why-experts-say-theres-no-such-thing-as-healthy-chocolate-and-20-raw-and-extra-dark-varieties-are-just-as-bad-as-hersheys/</v>
      </c>
      <c r="C353" s="2" t="s">
        <v>629</v>
      </c>
      <c r="D353" s="3">
        <v>45338.889166666668</v>
      </c>
      <c r="E353" s="2" t="s">
        <v>632</v>
      </c>
    </row>
    <row r="354" spans="1:5" ht="70" x14ac:dyDescent="0.2">
      <c r="A354" s="2" t="s">
        <v>4066</v>
      </c>
      <c r="B354" s="2" t="str">
        <f>HYPERLINK("https://newsfounded.com/why-experts-say-theres-no-such-thing-as-nothing-as-healthy-chocolate-and-the-20-raw-and-darker-varieties-are-just-as-bad-as-hersheys/")</f>
        <v>https://newsfounded.com/why-experts-say-theres-no-such-thing-as-nothing-as-healthy-chocolate-and-the-20-raw-and-darker-varieties-are-just-as-bad-as-hersheys/</v>
      </c>
      <c r="C354" s="2" t="s">
        <v>3771</v>
      </c>
      <c r="D354" s="3">
        <v>45338.918263888889</v>
      </c>
      <c r="E354" s="2" t="s">
        <v>4067</v>
      </c>
    </row>
    <row r="355" spans="1:5" ht="56" x14ac:dyDescent="0.2">
      <c r="A355" s="2" t="s">
        <v>573</v>
      </c>
      <c r="B355" s="2" t="str">
        <f>HYPERLINK("https://digitpatrox.com/6-misleading-food-labels/")</f>
        <v>https://digitpatrox.com/6-misleading-food-labels/</v>
      </c>
      <c r="C355" s="2" t="s">
        <v>574</v>
      </c>
      <c r="D355" s="3">
        <v>45339.283229166656</v>
      </c>
      <c r="E355" s="2" t="s">
        <v>575</v>
      </c>
    </row>
    <row r="356" spans="1:5" ht="84" x14ac:dyDescent="0.2">
      <c r="A356" s="2" t="s">
        <v>3382</v>
      </c>
      <c r="B356" s="2" t="str">
        <f>HYPERLINK("https://www.theepochtimes.com/health/the-lesser-known-reality-of-organic-why-the-label-doesnt-mean-what-it-used-to-5587258")</f>
        <v>https://www.theepochtimes.com/health/the-lesser-known-reality-of-organic-why-the-label-doesnt-mean-what-it-used-to-5587258</v>
      </c>
      <c r="C356" s="2" t="s">
        <v>3381</v>
      </c>
      <c r="D356" s="3">
        <v>45339.530671296299</v>
      </c>
      <c r="E356" s="2" t="s">
        <v>3383</v>
      </c>
    </row>
    <row r="357" spans="1:5" ht="84" x14ac:dyDescent="0.2">
      <c r="A357" s="2" t="s">
        <v>349</v>
      </c>
      <c r="B357" s="2" t="str">
        <f>HYPERLINK("https://networthynews.com/?p=159359")</f>
        <v>https://networthynews.com/?p=159359</v>
      </c>
      <c r="C357" s="2" t="s">
        <v>350</v>
      </c>
      <c r="D357" s="3">
        <v>45339.896261574067</v>
      </c>
      <c r="E357" s="2" t="s">
        <v>351</v>
      </c>
    </row>
    <row r="358" spans="1:5" ht="70" x14ac:dyDescent="0.2">
      <c r="A358" s="2" t="s">
        <v>2465</v>
      </c>
      <c r="B358" s="2" t="str">
        <f>HYPERLINK("https://www.centralmaine.com/2024/02/18/a-popular-new-documentary-shows-rapid-health-gains-from-a-vegan-diet/")</f>
        <v>https://www.centralmaine.com/2024/02/18/a-popular-new-documentary-shows-rapid-health-gains-from-a-vegan-diet/</v>
      </c>
      <c r="C358" s="2" t="s">
        <v>2466</v>
      </c>
      <c r="D358" s="3">
        <v>45340.168599537043</v>
      </c>
      <c r="E358" s="2" t="s">
        <v>2467</v>
      </c>
    </row>
    <row r="359" spans="1:5" ht="70" x14ac:dyDescent="0.2">
      <c r="A359" s="2" t="s">
        <v>2465</v>
      </c>
      <c r="B359" s="2" t="str">
        <f>HYPERLINK("https://www.pressherald.com/2024/02/18/a-popular-new-documentary-shows-rapid-health-gains-from-a-vegan-diet/")</f>
        <v>https://www.pressherald.com/2024/02/18/a-popular-new-documentary-shows-rapid-health-gains-from-a-vegan-diet/</v>
      </c>
      <c r="C359" s="2" t="s">
        <v>2767</v>
      </c>
      <c r="D359" s="3">
        <v>45340.170590277783</v>
      </c>
      <c r="E359" s="2" t="s">
        <v>2467</v>
      </c>
    </row>
    <row r="360" spans="1:5" ht="84" x14ac:dyDescent="0.2">
      <c r="A360" s="2" t="s">
        <v>1321</v>
      </c>
      <c r="B360" s="2" t="str">
        <f>HYPERLINK("https://www.duurzaamnieuws.nl/de-bittere-strijd-tussen-suiker-en-zoet/")</f>
        <v>https://www.duurzaamnieuws.nl/de-bittere-strijd-tussen-suiker-en-zoet/</v>
      </c>
      <c r="C360" s="2" t="s">
        <v>1322</v>
      </c>
      <c r="D360" s="3">
        <v>45340.177476851852</v>
      </c>
      <c r="E360" s="2" t="s">
        <v>1323</v>
      </c>
    </row>
    <row r="361" spans="1:5" ht="56" x14ac:dyDescent="0.2">
      <c r="A361" s="2" t="s">
        <v>1507</v>
      </c>
      <c r="B361" s="2" t="str">
        <f>HYPERLINK("https://www.world-today-news.com/the-fallacy-of-healthy-chocolate-nutritionist-debunks-claims-of-health-benefits/")</f>
        <v>https://www.world-today-news.com/the-fallacy-of-healthy-chocolate-nutritionist-debunks-claims-of-health-benefits/</v>
      </c>
      <c r="C361" s="2" t="s">
        <v>1325</v>
      </c>
      <c r="D361" s="3">
        <v>45340.276863425926</v>
      </c>
      <c r="E361" s="2" t="s">
        <v>527</v>
      </c>
    </row>
    <row r="362" spans="1:5" ht="56" x14ac:dyDescent="0.2">
      <c r="A362" s="2" t="s">
        <v>525</v>
      </c>
      <c r="B362" s="2" t="str">
        <f>HYPERLINK("https://www.archynetys.com/new-way-to-treat-parkinsons-disease-inspired-by/")</f>
        <v>https://www.archynetys.com/new-way-to-treat-parkinsons-disease-inspired-by/</v>
      </c>
      <c r="C362" s="2" t="s">
        <v>526</v>
      </c>
      <c r="D362" s="3">
        <v>45340.332083333327</v>
      </c>
      <c r="E362" s="2" t="s">
        <v>527</v>
      </c>
    </row>
    <row r="363" spans="1:5" ht="70" x14ac:dyDescent="0.2">
      <c r="A363" s="2" t="s">
        <v>199</v>
      </c>
      <c r="B363" s="2" t="str">
        <f>HYPERLINK("https://www.deleciousfood.com/popular-new-documentary-shows-rapid-health-gains-from-a-vegan-diet/")</f>
        <v>https://www.deleciousfood.com/popular-new-documentary-shows-rapid-health-gains-from-a-vegan-diet/</v>
      </c>
      <c r="C363" s="2" t="s">
        <v>200</v>
      </c>
      <c r="D363" s="3">
        <v>45340.772233796299</v>
      </c>
      <c r="E363" s="2" t="s">
        <v>201</v>
      </c>
    </row>
    <row r="364" spans="1:5" ht="70" x14ac:dyDescent="0.2">
      <c r="A364" s="2" t="s">
        <v>1300</v>
      </c>
      <c r="B364" s="2" t="str">
        <f>HYPERLINK("https://yournews.com/2024/02/19/2742928/doesnt-mean-what-it-used-to-organic-food-sales-surge/")</f>
        <v>https://yournews.com/2024/02/19/2742928/doesnt-mean-what-it-used-to-organic-food-sales-surge/</v>
      </c>
      <c r="C364" s="2" t="s">
        <v>1301</v>
      </c>
      <c r="D364" s="3">
        <v>45341</v>
      </c>
      <c r="E364" s="2" t="s">
        <v>1302</v>
      </c>
    </row>
    <row r="365" spans="1:5" ht="84" x14ac:dyDescent="0.2">
      <c r="A365" s="2" t="s">
        <v>3384</v>
      </c>
      <c r="B365" s="2" t="str">
        <f>HYPERLINK("https://es.theepochtimes.com/la-verdad-sobre-los-alimentos-organicos-por-que-ya-no-significan-lo-mismo_1238590.html")</f>
        <v>https://es.theepochtimes.com/la-verdad-sobre-los-alimentos-organicos-por-que-ya-no-significan-lo-mismo_1238590.html</v>
      </c>
      <c r="C365" s="2" t="s">
        <v>3381</v>
      </c>
      <c r="D365" s="3">
        <v>45341.402256944442</v>
      </c>
      <c r="E365" s="2" t="s">
        <v>3385</v>
      </c>
    </row>
    <row r="366" spans="1:5" ht="42" x14ac:dyDescent="0.2">
      <c r="A366" s="2" t="s">
        <v>4127</v>
      </c>
      <c r="B366" s="2" t="str">
        <f>HYPERLINK("https://managaia.eco/5-etichette-alimentari-ingannevoli-tradotti-per-voi/")</f>
        <v>https://managaia.eco/5-etichette-alimentari-ingannevoli-tradotti-per-voi/</v>
      </c>
      <c r="C366" s="2" t="s">
        <v>4128</v>
      </c>
      <c r="D366" s="3">
        <v>45341.503148148149</v>
      </c>
      <c r="E366" s="2" t="s">
        <v>4129</v>
      </c>
    </row>
    <row r="367" spans="1:5" ht="56" x14ac:dyDescent="0.2">
      <c r="A367" s="2" t="s">
        <v>1246</v>
      </c>
      <c r="B367" s="2" t="str">
        <f>HYPERLINK("https://en.mogaznews.com/Health/2340975/Why-experts-say-theres-no-such-thing-as-healthy-chocolate---and-20-raw--trends-now.html")</f>
        <v>https://en.mogaznews.com/Health/2340975/Why-experts-say-theres-no-such-thing-as-healthy-chocolate---and-20-raw--trends-now.html</v>
      </c>
      <c r="C367" s="2" t="s">
        <v>1247</v>
      </c>
      <c r="D367" s="3">
        <v>45341.556284722217</v>
      </c>
      <c r="E367" s="2" t="s">
        <v>61</v>
      </c>
    </row>
    <row r="368" spans="1:5" ht="70" x14ac:dyDescent="0.2">
      <c r="A368" s="2" t="s">
        <v>727</v>
      </c>
      <c r="B368" s="2" t="str">
        <f>HYPERLINK("https://britishbulletin.com/exclusivewhy-experts-say-theres-no-such-thing-as-healthy-chocolate-and-20-raw-and-extra-dark-varieties-are-just-as-bad-as-hersheys/")</f>
        <v>https://britishbulletin.com/exclusivewhy-experts-say-theres-no-such-thing-as-healthy-chocolate-and-20-raw-and-extra-dark-varieties-are-just-as-bad-as-hersheys/</v>
      </c>
      <c r="C368" s="2" t="s">
        <v>667</v>
      </c>
      <c r="D368" s="3">
        <v>45341.56386574074</v>
      </c>
      <c r="E368" s="2" t="s">
        <v>451</v>
      </c>
    </row>
    <row r="369" spans="1:5" ht="70" x14ac:dyDescent="0.2">
      <c r="A369" s="2" t="s">
        <v>655</v>
      </c>
      <c r="B369" s="2" t="str">
        <f>HYPERLINK("https://thebritishclub.co.uk/exclusivewhy-experts-say-theres-no-such-thing-as-healthy-chocolate-and-20-raw-and-extra-dark-varieties-are-just-as-bad-as-hersheys/")</f>
        <v>https://thebritishclub.co.uk/exclusivewhy-experts-say-theres-no-such-thing-as-healthy-chocolate-and-20-raw-and-extra-dark-varieties-are-just-as-bad-as-hersheys/</v>
      </c>
      <c r="C369" s="2" t="s">
        <v>3909</v>
      </c>
      <c r="D369" s="3">
        <v>45341.838483796288</v>
      </c>
      <c r="E369" s="2" t="s">
        <v>451</v>
      </c>
    </row>
    <row r="370" spans="1:5" ht="70" x14ac:dyDescent="0.2">
      <c r="A370" s="2" t="s">
        <v>655</v>
      </c>
      <c r="B370" s="2" t="str">
        <f>HYPERLINK("https://mahalsa.co.uk/exclusivewhy-experts-say-theres-no-such-thing-as-healthy-chocolate-and-20-raw-and-extra-dark-varieties-are-just-as-bad-as-hersheys/")</f>
        <v>https://mahalsa.co.uk/exclusivewhy-experts-say-theres-no-such-thing-as-healthy-chocolate-and-20-raw-and-extra-dark-varieties-are-just-as-bad-as-hersheys/</v>
      </c>
      <c r="C370" s="2" t="s">
        <v>862</v>
      </c>
      <c r="D370" s="3">
        <v>45341.843888888892</v>
      </c>
      <c r="E370" s="2" t="s">
        <v>451</v>
      </c>
    </row>
    <row r="371" spans="1:5" ht="70" x14ac:dyDescent="0.2">
      <c r="A371" s="2" t="s">
        <v>655</v>
      </c>
      <c r="B371" s="2" t="str">
        <f>HYPERLINK("https://uk-times.com/exclusivewhy-experts-say-theres-no-such-thing-as-healthy-chocolate-and-20-raw-and-extra-dark-varieties-are-just-as-bad-as-hersheys/")</f>
        <v>https://uk-times.com/exclusivewhy-experts-say-theres-no-such-thing-as-healthy-chocolate-and-20-raw-and-extra-dark-varieties-are-just-as-bad-as-hersheys/</v>
      </c>
      <c r="C371" s="2" t="s">
        <v>656</v>
      </c>
      <c r="D371" s="3">
        <v>45341.854097222233</v>
      </c>
      <c r="E371" s="2" t="s">
        <v>451</v>
      </c>
    </row>
    <row r="372" spans="1:5" ht="70" x14ac:dyDescent="0.2">
      <c r="A372" s="2" t="s">
        <v>59</v>
      </c>
      <c r="B372" s="2" t="str">
        <f>HYPERLINK("https://madrastribune.com/2024/02/20/why-experts-say-theres-no-such-thing-as-healthy-chocolate-and-20-raw-and-extra-dark-varieties-are-just-as-bad-as-hersheys/")</f>
        <v>https://madrastribune.com/2024/02/20/why-experts-say-theres-no-such-thing-as-healthy-chocolate-and-20-raw-and-extra-dark-varieties-are-just-as-bad-as-hersheys/</v>
      </c>
      <c r="C372" s="2" t="s">
        <v>479</v>
      </c>
      <c r="D372" s="3">
        <v>45341.920787037037</v>
      </c>
      <c r="E372" s="2" t="s">
        <v>451</v>
      </c>
    </row>
    <row r="373" spans="1:5" ht="42" x14ac:dyDescent="0.2">
      <c r="A373" s="2" t="s">
        <v>3748</v>
      </c>
      <c r="B373" s="2" t="str">
        <f>HYPERLINK("http://bespacific.com/misleading-food-labels/")</f>
        <v>http://bespacific.com/misleading-food-labels/</v>
      </c>
      <c r="C373" s="2" t="s">
        <v>3749</v>
      </c>
      <c r="D373" s="3">
        <v>45342.345821759263</v>
      </c>
      <c r="E373" s="2" t="s">
        <v>3750</v>
      </c>
    </row>
    <row r="374" spans="1:5" ht="56" x14ac:dyDescent="0.2">
      <c r="A374" s="2" t="s">
        <v>51</v>
      </c>
      <c r="B374" s="2" t="str">
        <f>HYPERLINK("https://bitebi.com/mac-cheese-sales-down-blame-snap/")</f>
        <v>https://bitebi.com/mac-cheese-sales-down-blame-snap/</v>
      </c>
      <c r="C374" s="2" t="s">
        <v>15</v>
      </c>
      <c r="D374" s="3">
        <v>45343.397719907407</v>
      </c>
      <c r="E374" s="2" t="s">
        <v>100</v>
      </c>
    </row>
    <row r="375" spans="1:5" ht="56" x14ac:dyDescent="0.2">
      <c r="A375" s="2" t="s">
        <v>4136</v>
      </c>
      <c r="B375" s="2" t="str">
        <f>HYPERLINK("https://www.nationalgeographicbrasil.com/ciencia/2024/02/kombucha-e-nootropicos-estao-na-moda-sera-que-eles-realmente-funcionam")</f>
        <v>https://www.nationalgeographicbrasil.com/ciencia/2024/02/kombucha-e-nootropicos-estao-na-moda-sera-que-eles-realmente-funcionam</v>
      </c>
      <c r="C375" s="2" t="s">
        <v>4137</v>
      </c>
      <c r="D375" s="3">
        <v>45344.25</v>
      </c>
      <c r="E375" s="2" t="s">
        <v>4138</v>
      </c>
    </row>
    <row r="376" spans="1:5" ht="84" x14ac:dyDescent="0.2">
      <c r="A376" s="2" t="s">
        <v>3000</v>
      </c>
      <c r="B376" s="2" t="str">
        <f>HYPERLINK("https://www.startitup.sk/pozor-na-ochutene-jogurty-aj-ranajkove-cerealie-ako-rozoznat-ultraspracovane-potraviny/")</f>
        <v>https://www.startitup.sk/pozor-na-ochutene-jogurty-aj-ranajkove-cerealie-ako-rozoznat-ultraspracovane-potraviny/</v>
      </c>
      <c r="C376" s="2" t="s">
        <v>3001</v>
      </c>
      <c r="D376" s="3">
        <v>45345.161840277768</v>
      </c>
      <c r="E376" s="2" t="s">
        <v>3002</v>
      </c>
    </row>
    <row r="377" spans="1:5" ht="70" x14ac:dyDescent="0.2">
      <c r="A377" s="2" t="s">
        <v>2497</v>
      </c>
      <c r="B377" s="2" t="str">
        <f>HYPERLINK("https://www.theguardian.com/us-news/2024/feb/23/chocolate-milk-schools-ban-study")</f>
        <v>https://www.theguardian.com/us-news/2024/feb/23/chocolate-milk-schools-ban-study</v>
      </c>
      <c r="C377" s="2" t="s">
        <v>3686</v>
      </c>
      <c r="D377" s="3">
        <v>45345.424212962957</v>
      </c>
      <c r="E377" s="2" t="s">
        <v>480</v>
      </c>
    </row>
    <row r="378" spans="1:5" ht="70" x14ac:dyDescent="0.2">
      <c r="A378" s="2" t="s">
        <v>496</v>
      </c>
      <c r="B378" s="2" t="str">
        <f>HYPERLINK("https://www.newssniffer.co.uk/versions/15177263")</f>
        <v>https://www.newssniffer.co.uk/versions/15177263</v>
      </c>
      <c r="C378" s="2" t="s">
        <v>496</v>
      </c>
      <c r="D378" s="3">
        <v>45345.424861111111</v>
      </c>
      <c r="E378" s="2" t="s">
        <v>480</v>
      </c>
    </row>
    <row r="379" spans="1:5" ht="84" x14ac:dyDescent="0.2">
      <c r="A379" s="2" t="s">
        <v>754</v>
      </c>
      <c r="B379" s="2" t="str">
        <f>HYPERLINK("https://espanol.news/tienes-leche-con-chocolate-mientras-las-escuelas-estadounidenses-consideran-una-prohibicion-prevalece-un-estudio-antiguo-e-incompleto-comidas-del-colegio/")</f>
        <v>https://espanol.news/tienes-leche-con-chocolate-mientras-las-escuelas-estadounidenses-consideran-una-prohibicion-prevalece-un-estudio-antiguo-e-incompleto-comidas-del-colegio/</v>
      </c>
      <c r="C379" s="2" t="s">
        <v>747</v>
      </c>
      <c r="D379" s="3">
        <v>45345.427511574067</v>
      </c>
      <c r="E379" s="2" t="s">
        <v>755</v>
      </c>
    </row>
    <row r="380" spans="1:5" ht="56" x14ac:dyDescent="0.2">
      <c r="A380" s="2" t="s">
        <v>793</v>
      </c>
      <c r="B380" s="2" t="str">
        <f>HYPERLINK("https://algonquintimes.com/arts-entertainment/food-special-veganism-is-gaining-momentum-but-more-knowledge-is-needed/")</f>
        <v>https://algonquintimes.com/arts-entertainment/food-special-veganism-is-gaining-momentum-but-more-knowledge-is-needed/</v>
      </c>
      <c r="C380" s="2" t="s">
        <v>794</v>
      </c>
      <c r="D380" s="3">
        <v>45345.631192129629</v>
      </c>
      <c r="E380" s="2" t="s">
        <v>795</v>
      </c>
    </row>
    <row r="381" spans="1:5" ht="84" x14ac:dyDescent="0.2">
      <c r="A381" s="2" t="s">
        <v>255</v>
      </c>
      <c r="B381" s="2" t="str">
        <f>HYPERLINK("https://germanic.news/hast-du-schokoladenmilch-wahrend-us-schulen-uber-ein-verbot-nachdenken-ist-eine-alte-luckenhafte-studie-masgeblich-schulmahlzeiten/")</f>
        <v>https://germanic.news/hast-du-schokoladenmilch-wahrend-us-schulen-uber-ein-verbot-nachdenken-ist-eine-alte-luckenhafte-studie-masgeblich-schulmahlzeiten/</v>
      </c>
      <c r="C381" s="2" t="s">
        <v>243</v>
      </c>
      <c r="D381" s="3">
        <v>45345.890324074076</v>
      </c>
      <c r="E381" s="2" t="s">
        <v>256</v>
      </c>
    </row>
    <row r="382" spans="1:5" ht="70" x14ac:dyDescent="0.2">
      <c r="A382" s="2" t="s">
        <v>478</v>
      </c>
      <c r="B382" s="2" t="str">
        <f>HYPERLINK("https://madrastribune.com/2024/02/24/got-chocolate-milk-as-us-schools-consider-a-ban-an-old-sketchy-study-holds-sway-school-meals/")</f>
        <v>https://madrastribune.com/2024/02/24/got-chocolate-milk-as-us-schools-consider-a-ban-an-old-sketchy-study-holds-sway-school-meals/</v>
      </c>
      <c r="C382" s="2" t="s">
        <v>479</v>
      </c>
      <c r="D382" s="3">
        <v>45346.019872685189</v>
      </c>
      <c r="E382" s="2" t="s">
        <v>480</v>
      </c>
    </row>
    <row r="383" spans="1:5" ht="84" x14ac:dyDescent="0.2">
      <c r="A383" s="2" t="s">
        <v>538</v>
      </c>
      <c r="B383" s="2" t="str">
        <f>HYPERLINK("https://www.eldinamo.cl/pais/2024/02/24/ozempic-los-riesgos-y-cambios-a-nivel-cerebral-que-produce-el-medicamento-de-moda-para-bajar-de-peso/")</f>
        <v>https://www.eldinamo.cl/pais/2024/02/24/ozempic-los-riesgos-y-cambios-a-nivel-cerebral-que-produce-el-medicamento-de-moda-para-bajar-de-peso/</v>
      </c>
      <c r="C383" s="2" t="s">
        <v>3007</v>
      </c>
      <c r="D383" s="3">
        <v>45346.251354166663</v>
      </c>
      <c r="E383" s="2" t="s">
        <v>540</v>
      </c>
    </row>
    <row r="384" spans="1:5" ht="84" x14ac:dyDescent="0.2">
      <c r="A384" s="2" t="s">
        <v>538</v>
      </c>
      <c r="B384" s="2" t="str">
        <f>HYPERLINK("https://www.insularfm.cl/?p=36496")</f>
        <v>https://www.insularfm.cl/?p=36496</v>
      </c>
      <c r="C384" s="2" t="s">
        <v>650</v>
      </c>
      <c r="D384" s="3">
        <v>45346.251388888893</v>
      </c>
      <c r="E384" s="2" t="s">
        <v>540</v>
      </c>
    </row>
    <row r="385" spans="1:5" ht="70" x14ac:dyDescent="0.2">
      <c r="A385" s="2" t="s">
        <v>2497</v>
      </c>
      <c r="B385" s="2" t="str">
        <f>HYPERLINK("https://www.democraticunderground.com/100218716764")</f>
        <v>https://www.democraticunderground.com/100218716764</v>
      </c>
      <c r="C385" s="2" t="s">
        <v>2495</v>
      </c>
      <c r="D385" s="3">
        <v>45346.457199074073</v>
      </c>
      <c r="E385" s="2" t="s">
        <v>2498</v>
      </c>
    </row>
    <row r="386" spans="1:5" ht="56" x14ac:dyDescent="0.2">
      <c r="A386" s="2" t="s">
        <v>2890</v>
      </c>
      <c r="B386" s="2" t="str">
        <f>HYPERLINK("https://www.laopiniondezamora.es/opinion/2024/02/25/prebioticos-probioticos-bebidas-son-realmente-98623937.html")</f>
        <v>https://www.laopiniondezamora.es/opinion/2024/02/25/prebioticos-probioticos-bebidas-son-realmente-98623937.html</v>
      </c>
      <c r="C386" s="2" t="s">
        <v>2891</v>
      </c>
      <c r="D386" s="3">
        <v>45347.046261574083</v>
      </c>
      <c r="E386" s="2" t="s">
        <v>2892</v>
      </c>
    </row>
    <row r="387" spans="1:5" ht="56" x14ac:dyDescent="0.2">
      <c r="A387" s="2" t="s">
        <v>2171</v>
      </c>
      <c r="B387" s="2" t="str">
        <f>HYPERLINK("https://jewishstandard.timesofisrael.com/sunday-of-strong-women-to-celebrate-authors-and-the-power-of-their-words/")</f>
        <v>https://jewishstandard.timesofisrael.com/sunday-of-strong-women-to-celebrate-authors-and-the-power-of-their-words/</v>
      </c>
      <c r="C387" s="2" t="s">
        <v>2172</v>
      </c>
      <c r="D387" s="3">
        <v>45351.57916666667</v>
      </c>
      <c r="E387" s="2" t="s">
        <v>2173</v>
      </c>
    </row>
    <row r="388" spans="1:5" ht="70" x14ac:dyDescent="0.2">
      <c r="A388" s="2" t="s">
        <v>3135</v>
      </c>
      <c r="B388" s="2" t="str">
        <f>HYPERLINK("https://www.delfi.lt/multimedija/sveikesnio-gyvenimo-receptas/10-mitybos-mitu-kuriuos-paneigia-ekspertai-nuo-riebalu-iki-pieno-pasirinkimo-95994685")</f>
        <v>https://www.delfi.lt/multimedija/sveikesnio-gyvenimo-receptas/10-mitybos-mitu-kuriuos-paneigia-ekspertai-nuo-riebalu-iki-pieno-pasirinkimo-95994685</v>
      </c>
      <c r="C388" s="2" t="s">
        <v>3136</v>
      </c>
      <c r="D388" s="3">
        <v>45351.604814814818</v>
      </c>
      <c r="E388" s="2" t="s">
        <v>3137</v>
      </c>
    </row>
    <row r="389" spans="1:5" ht="42" x14ac:dyDescent="0.2">
      <c r="A389" s="2" t="s">
        <v>24</v>
      </c>
      <c r="B389" s="2" t="str">
        <f>HYPERLINK("https://bitebi.com/how-to-sell-plant-based-products-use-red-packaging/")</f>
        <v>https://bitebi.com/how-to-sell-plant-based-products-use-red-packaging/</v>
      </c>
      <c r="C389" s="2" t="s">
        <v>15</v>
      </c>
      <c r="D389" s="3">
        <v>45351.775057870371</v>
      </c>
      <c r="E389" s="2" t="s">
        <v>25</v>
      </c>
    </row>
    <row r="390" spans="1:5" ht="56" x14ac:dyDescent="0.2">
      <c r="A390" s="2" t="s">
        <v>91</v>
      </c>
      <c r="B390" s="2" t="str">
        <f>HYPERLINK("https://vnexplorer.net/yogurts-can-make-limited-claim-that-the-food-reduces-risk-of-type-2-diabetes-fda-says-s1684435.html")</f>
        <v>https://vnexplorer.net/yogurts-can-make-limited-claim-that-the-food-reduces-risk-of-type-2-diabetes-fda-says-s1684435.html</v>
      </c>
      <c r="C390" s="2" t="s">
        <v>1334</v>
      </c>
      <c r="D390" s="3">
        <v>45351.974016203712</v>
      </c>
      <c r="E390" s="2" t="s">
        <v>549</v>
      </c>
    </row>
    <row r="391" spans="1:5" ht="84" x14ac:dyDescent="0.2">
      <c r="A391" s="2" t="s">
        <v>91</v>
      </c>
      <c r="B391" s="2" t="str">
        <f>HYPERLINK("https://www.hannibal.net/news/national/yogurts-can-make-limited-claim-that-the-food-reduces-risk-of-type-2-diabetes-fda/article_71364811-a537-5a1f-9858-7a8f0d5bd78e.html")</f>
        <v>https://www.hannibal.net/news/national/yogurts-can-make-limited-claim-that-the-food-reduces-risk-of-type-2-diabetes-fda/article_71364811-a537-5a1f-9858-7a8f0d5bd78e.html</v>
      </c>
      <c r="C391" s="2" t="s">
        <v>1219</v>
      </c>
      <c r="D391" s="3">
        <v>45352</v>
      </c>
      <c r="E391" s="2" t="s">
        <v>828</v>
      </c>
    </row>
    <row r="392" spans="1:5" ht="84" x14ac:dyDescent="0.2">
      <c r="A392" s="2" t="s">
        <v>91</v>
      </c>
      <c r="B392" s="2" t="str">
        <f>HYPERLINK("https://www.athensreview.com/national/yogurts-can-make-limited-claim-that-the-food-reduces-risk-of-type-2-diabetes-fda/article_491218af-4be7-554d-b065-ea7862d6bf61.html")</f>
        <v>https://www.athensreview.com/national/yogurts-can-make-limited-claim-that-the-food-reduces-risk-of-type-2-diabetes-fda/article_491218af-4be7-554d-b065-ea7862d6bf61.html</v>
      </c>
      <c r="C392" s="2" t="s">
        <v>1272</v>
      </c>
      <c r="D392" s="3">
        <v>45352</v>
      </c>
      <c r="E392" s="2" t="s">
        <v>828</v>
      </c>
    </row>
    <row r="393" spans="1:5" ht="84" x14ac:dyDescent="0.2">
      <c r="A393" s="2" t="s">
        <v>91</v>
      </c>
      <c r="B393" s="2" t="str">
        <f>HYPERLINK("https://www.greensburgdailynews.com/news/nation_world/yogurts-can-make-limited-claim-that-the-food-reduces-risk-of-type-2-diabetes-fda/article_9f5bf215-b7dd-529b-bca4-486885307030.html")</f>
        <v>https://www.greensburgdailynews.com/news/nation_world/yogurts-can-make-limited-claim-that-the-food-reduces-risk-of-type-2-diabetes-fda/article_9f5bf215-b7dd-529b-bca4-486885307030.html</v>
      </c>
      <c r="C393" s="2" t="s">
        <v>1274</v>
      </c>
      <c r="D393" s="3">
        <v>45352</v>
      </c>
      <c r="E393" s="2" t="s">
        <v>828</v>
      </c>
    </row>
    <row r="394" spans="1:5" ht="84" x14ac:dyDescent="0.2">
      <c r="A394" s="2" t="s">
        <v>91</v>
      </c>
      <c r="B394" s="2" t="str">
        <f>HYPERLINK("https://www.oskaloosa.com/news/national_news/yogurts-can-make-limited-claim-that-the-food-reduces-risk-of-type-2-diabetes-fda/article_a09e88ac-5d3b-5546-9b62-627e74d2412f.html")</f>
        <v>https://www.oskaloosa.com/news/national_news/yogurts-can-make-limited-claim-that-the-food-reduces-risk-of-type-2-diabetes-fda/article_a09e88ac-5d3b-5546-9b62-627e74d2412f.html</v>
      </c>
      <c r="C394" s="2" t="s">
        <v>1283</v>
      </c>
      <c r="D394" s="3">
        <v>45352</v>
      </c>
      <c r="E394" s="2" t="s">
        <v>828</v>
      </c>
    </row>
    <row r="395" spans="1:5" ht="84" x14ac:dyDescent="0.2">
      <c r="A395" s="2" t="s">
        <v>91</v>
      </c>
      <c r="B395" s="2" t="str">
        <f>HYPERLINK("https://www.richmondregister.com/ap/national/yogurts-can-make-limited-claim-that-the-food-reduces-risk-of-type-2-diabetes-fda/article_19dc763b-5f63-5e0e-8f8a-1446f450a20b.html")</f>
        <v>https://www.richmondregister.com/ap/national/yogurts-can-make-limited-claim-that-the-food-reduces-risk-of-type-2-diabetes-fda/article_19dc763b-5f63-5e0e-8f8a-1446f450a20b.html</v>
      </c>
      <c r="C395" s="2" t="s">
        <v>1305</v>
      </c>
      <c r="D395" s="3">
        <v>45352</v>
      </c>
      <c r="E395" s="2" t="s">
        <v>828</v>
      </c>
    </row>
    <row r="396" spans="1:5" ht="84" x14ac:dyDescent="0.2">
      <c r="A396" s="2" t="s">
        <v>91</v>
      </c>
      <c r="B396" s="2" t="str">
        <f>HYPERLINK("https://www.thetimestribune.com/news/national_news/yogurts-can-make-limited-claim-that-the-food-reduces-risk-of-type-2-diabetes-fda/article_d1f343ee-25b0-5185-a6d3-ae2ce402d9e9.html")</f>
        <v>https://www.thetimestribune.com/news/national_news/yogurts-can-make-limited-claim-that-the-food-reduces-risk-of-type-2-diabetes-fda/article_d1f343ee-25b0-5185-a6d3-ae2ce402d9e9.html</v>
      </c>
      <c r="C396" s="2" t="s">
        <v>1106</v>
      </c>
      <c r="D396" s="3">
        <v>45352</v>
      </c>
      <c r="E396" s="2" t="s">
        <v>828</v>
      </c>
    </row>
    <row r="397" spans="1:5" ht="84" x14ac:dyDescent="0.2">
      <c r="A397" s="2" t="s">
        <v>91</v>
      </c>
      <c r="B397" s="2" t="str">
        <f>HYPERLINK("https://www.enewscourier.com/ap/national/yogurts-can-make-limited-claim-that-the-food-reduces-risk-of-type-2-diabetes-fda/article_720da38c-461c-5cc6-b79d-1b2370c1838b.html")</f>
        <v>https://www.enewscourier.com/ap/national/yogurts-can-make-limited-claim-that-the-food-reduces-risk-of-type-2-diabetes-fda/article_720da38c-461c-5cc6-b79d-1b2370c1838b.html</v>
      </c>
      <c r="C397" s="2" t="s">
        <v>1409</v>
      </c>
      <c r="D397" s="3">
        <v>45352</v>
      </c>
      <c r="E397" s="2" t="s">
        <v>828</v>
      </c>
    </row>
    <row r="398" spans="1:5" ht="84" x14ac:dyDescent="0.2">
      <c r="A398" s="2" t="s">
        <v>91</v>
      </c>
      <c r="B398" s="2" t="str">
        <f>HYPERLINK("https://kearneyhub.com/news/nation-world/yogurt-diabetes-fda-type-2/article_9ca4cd18-f31f-597e-bc40-445b6613ab21.html")</f>
        <v>https://kearneyhub.com/news/nation-world/yogurt-diabetes-fda-type-2/article_9ca4cd18-f31f-597e-bc40-445b6613ab21.html</v>
      </c>
      <c r="C398" s="2" t="s">
        <v>1586</v>
      </c>
      <c r="D398" s="3">
        <v>45352</v>
      </c>
      <c r="E398" s="2" t="s">
        <v>558</v>
      </c>
    </row>
    <row r="399" spans="1:5" ht="84" x14ac:dyDescent="0.2">
      <c r="A399" s="2" t="s">
        <v>91</v>
      </c>
      <c r="B399" s="2" t="str">
        <f>HYPERLINK("https://morganton.com/news/nation-world/yogurt-diabetes-fda-type-2/article_f9f1296c-90a6-5774-adec-0994b81a3632.html")</f>
        <v>https://morganton.com/news/nation-world/yogurt-diabetes-fda-type-2/article_f9f1296c-90a6-5774-adec-0994b81a3632.html</v>
      </c>
      <c r="C399" s="2" t="s">
        <v>1592</v>
      </c>
      <c r="D399" s="3">
        <v>45352</v>
      </c>
      <c r="E399" s="2" t="s">
        <v>828</v>
      </c>
    </row>
    <row r="400" spans="1:5" ht="56" x14ac:dyDescent="0.2">
      <c r="A400" s="2" t="s">
        <v>1593</v>
      </c>
      <c r="B400" s="2" t="str">
        <f>HYPERLINK("https://baytobaynews.com/stories/yogurts-can-make-limited-claim-that-the-food-reduces-risk-of-type-2-diabetes-fda-says,129438")</f>
        <v>https://baytobaynews.com/stories/yogurts-can-make-limited-claim-that-the-food-reduces-risk-of-type-2-diabetes-fda-says,129438</v>
      </c>
      <c r="C400" s="2" t="s">
        <v>1594</v>
      </c>
      <c r="D400" s="3">
        <v>45352</v>
      </c>
      <c r="E400" s="2" t="s">
        <v>70</v>
      </c>
    </row>
    <row r="401" spans="1:5" ht="84" x14ac:dyDescent="0.2">
      <c r="A401" s="2" t="s">
        <v>91</v>
      </c>
      <c r="B401" s="2" t="str">
        <f>HYPERLINK("https://www.ivpressonline.com/news/nation/yogurts-can-make-limited-claim-that-the-food-reduces-risk-of-type-2-diabetes-fda/article_7122c18c-da28-5881-be1b-e8d4b20f0245.html")</f>
        <v>https://www.ivpressonline.com/news/nation/yogurts-can-make-limited-claim-that-the-food-reduces-risk-of-type-2-diabetes-fda/article_7122c18c-da28-5881-be1b-e8d4b20f0245.html</v>
      </c>
      <c r="C401" s="2" t="s">
        <v>1630</v>
      </c>
      <c r="D401" s="3">
        <v>45352</v>
      </c>
      <c r="E401" s="2" t="s">
        <v>828</v>
      </c>
    </row>
    <row r="402" spans="1:5" ht="84" x14ac:dyDescent="0.2">
      <c r="A402" s="2" t="s">
        <v>91</v>
      </c>
      <c r="B402" s="2" t="str">
        <f>HYPERLINK("https://news.lee.net/news/nation-world/yogurt-diabetes-fda-type-2/article_b8b93936-d814-11ee-a7ff-2fc4e4264640.html")</f>
        <v>https://news.lee.net/news/nation-world/yogurt-diabetes-fda-type-2/article_b8b93936-d814-11ee-a7ff-2fc4e4264640.html</v>
      </c>
      <c r="C402" s="2" t="s">
        <v>1651</v>
      </c>
      <c r="D402" s="3">
        <v>45352</v>
      </c>
      <c r="E402" s="2" t="s">
        <v>828</v>
      </c>
    </row>
    <row r="403" spans="1:5" ht="84" x14ac:dyDescent="0.2">
      <c r="A403" s="2" t="s">
        <v>91</v>
      </c>
      <c r="B403" s="2" t="str">
        <f>HYPERLINK("https://www.corsicanadailysun.com/national/yogurts-can-make-limited-claim-that-the-food-reduces-risk-of-type-2-diabetes-fda/article_6a72faa5-5693-5810-9fcf-b4e38b763801.html")</f>
        <v>https://www.corsicanadailysun.com/national/yogurts-can-make-limited-claim-that-the-food-reduces-risk-of-type-2-diabetes-fda/article_6a72faa5-5693-5810-9fcf-b4e38b763801.html</v>
      </c>
      <c r="C403" s="2" t="s">
        <v>1291</v>
      </c>
      <c r="D403" s="3">
        <v>45352</v>
      </c>
      <c r="E403" s="2" t="s">
        <v>828</v>
      </c>
    </row>
    <row r="404" spans="1:5" ht="84" x14ac:dyDescent="0.2">
      <c r="A404" s="2" t="s">
        <v>91</v>
      </c>
      <c r="B404" s="2" t="str">
        <f>HYPERLINK("https://www.whig.com/ap/national/yogurts-can-make-limited-claim-that-the-food-reduces-risk-of-type-2-diabetes-fda/article_984a403c-1ede-5b70-9030-622796c7811f.html")</f>
        <v>https://www.whig.com/ap/national/yogurts-can-make-limited-claim-that-the-food-reduces-risk-of-type-2-diabetes-fda/article_984a403c-1ede-5b70-9030-622796c7811f.html</v>
      </c>
      <c r="C404" s="2" t="s">
        <v>1588</v>
      </c>
      <c r="D404" s="3">
        <v>45352</v>
      </c>
      <c r="E404" s="2" t="s">
        <v>828</v>
      </c>
    </row>
    <row r="405" spans="1:5" ht="70" x14ac:dyDescent="0.2">
      <c r="A405" s="2" t="s">
        <v>91</v>
      </c>
      <c r="B405" s="2" t="str">
        <f>HYPERLINK("https://www.thecanadianpressnews.ca/health/yogurts-can-make-limited-claim-that-the-food-reduces-risk-of-type-2-diabetes-fda/article_a22aea8b-7cb4-548c-a5f7-1c65cf814ff7.html")</f>
        <v>https://www.thecanadianpressnews.ca/health/yogurts-can-make-limited-claim-that-the-food-reduces-risk-of-type-2-diabetes-fda/article_a22aea8b-7cb4-548c-a5f7-1c65cf814ff7.html</v>
      </c>
      <c r="C405" s="2" t="s">
        <v>1737</v>
      </c>
      <c r="D405" s="3">
        <v>45352</v>
      </c>
      <c r="E405" s="2" t="s">
        <v>70</v>
      </c>
    </row>
    <row r="406" spans="1:5" ht="70" x14ac:dyDescent="0.2">
      <c r="A406" s="2" t="s">
        <v>91</v>
      </c>
      <c r="B406" s="2" t="str">
        <f>HYPERLINK("https://www.wellandtribune.ca/life/yogurts-can-make-limited-claim-that-the-food-reduces-risk-of-type-2-diabetes-fda/article_82f43593-4382-51ad-aa52-16bdf0bd8a51.html")</f>
        <v>https://www.wellandtribune.ca/life/yogurts-can-make-limited-claim-that-the-food-reduces-risk-of-type-2-diabetes-fda/article_82f43593-4382-51ad-aa52-16bdf0bd8a51.html</v>
      </c>
      <c r="C406" s="2" t="s">
        <v>1748</v>
      </c>
      <c r="D406" s="3">
        <v>45352</v>
      </c>
      <c r="E406" s="2" t="s">
        <v>70</v>
      </c>
    </row>
    <row r="407" spans="1:5" ht="84" x14ac:dyDescent="0.2">
      <c r="A407" s="2" t="s">
        <v>91</v>
      </c>
      <c r="B407" s="2" t="str">
        <f>HYPERLINK("https://www.midfloridanewspapers.com/ap/politics/yogurts-can-make-limited-claim-that-the-food-reduces-risk-of-type-2-diabetes-fda/article_fc2a29c4-9c00-51ef-a331-13abd9ddcd6f.html")</f>
        <v>https://www.midfloridanewspapers.com/ap/politics/yogurts-can-make-limited-claim-that-the-food-reduces-risk-of-type-2-diabetes-fda/article_fc2a29c4-9c00-51ef-a331-13abd9ddcd6f.html</v>
      </c>
      <c r="C407" s="2" t="s">
        <v>1749</v>
      </c>
      <c r="D407" s="3">
        <v>45352</v>
      </c>
      <c r="E407" s="2" t="s">
        <v>828</v>
      </c>
    </row>
    <row r="408" spans="1:5" ht="84" x14ac:dyDescent="0.2">
      <c r="A408" s="2" t="s">
        <v>91</v>
      </c>
      <c r="B408" s="2" t="str">
        <f>HYPERLINK("https://oanow.com/news/nation-world/yogurt-diabetes-fda-type-2/article_24583baa-cdf2-50bc-8c7b-f6cd7a4e7cad.html")</f>
        <v>https://oanow.com/news/nation-world/yogurt-diabetes-fda-type-2/article_24583baa-cdf2-50bc-8c7b-f6cd7a4e7cad.html</v>
      </c>
      <c r="C408" s="2" t="s">
        <v>1733</v>
      </c>
      <c r="D408" s="3">
        <v>45352</v>
      </c>
      <c r="E408" s="2" t="s">
        <v>828</v>
      </c>
    </row>
    <row r="409" spans="1:5" ht="84" x14ac:dyDescent="0.2">
      <c r="A409" s="2" t="s">
        <v>91</v>
      </c>
      <c r="B409" s="2" t="str">
        <f>HYPERLINK("https://www.goshennews.com/news/national_news/yogurts-can-make-limited-claim-that-the-food-reduces-risk-of-type-2-diabetes-fda/article_a683f659-9cf9-5467-9ef2-7420cfda6410.html")</f>
        <v>https://www.goshennews.com/news/national_news/yogurts-can-make-limited-claim-that-the-food-reduces-risk-of-type-2-diabetes-fda/article_a683f659-9cf9-5467-9ef2-7420cfda6410.html</v>
      </c>
      <c r="C409" s="2" t="s">
        <v>1536</v>
      </c>
      <c r="D409" s="3">
        <v>45352</v>
      </c>
      <c r="E409" s="2" t="s">
        <v>828</v>
      </c>
    </row>
    <row r="410" spans="1:5" ht="84" x14ac:dyDescent="0.2">
      <c r="A410" s="2" t="s">
        <v>91</v>
      </c>
      <c r="B410" s="2" t="str">
        <f>HYPERLINK("https://www.kentuckytoday.com/news/national/yogurts-can-make-limited-claim-that-the-food-reduces-risk-of-type-2-diabetes-fda/article_42a92f63-2e87-5b23-94e1-b1d5765029b2.html")</f>
        <v>https://www.kentuckytoday.com/news/national/yogurts-can-make-limited-claim-that-the-food-reduces-risk-of-type-2-diabetes-fda/article_42a92f63-2e87-5b23-94e1-b1d5765029b2.html</v>
      </c>
      <c r="C410" s="2" t="s">
        <v>1775</v>
      </c>
      <c r="D410" s="3">
        <v>45352</v>
      </c>
      <c r="E410" s="2" t="s">
        <v>828</v>
      </c>
    </row>
    <row r="411" spans="1:5" ht="84" x14ac:dyDescent="0.2">
      <c r="A411" s="2" t="s">
        <v>91</v>
      </c>
      <c r="B411" s="2" t="str">
        <f>HYPERLINK("https://www.yankton.net/news/national_ap/article_a6329d1c-00dc-5318-9e47-5d4666cd596c.html")</f>
        <v>https://www.yankton.net/news/national_ap/article_a6329d1c-00dc-5318-9e47-5d4666cd596c.html</v>
      </c>
      <c r="C411" s="2" t="s">
        <v>1591</v>
      </c>
      <c r="D411" s="3">
        <v>45352</v>
      </c>
      <c r="E411" s="2" t="s">
        <v>828</v>
      </c>
    </row>
    <row r="412" spans="1:5" ht="84" x14ac:dyDescent="0.2">
      <c r="A412" s="2" t="s">
        <v>91</v>
      </c>
      <c r="B412" s="2" t="str">
        <f>HYPERLINK("https://santamariatimes.com/news/national/yogurts-can-make-limited-claim-that-the-food-reduces-risk-of-type-2-diabetes-fda/article_25f7fe90-4571-5d8d-b779-19221a700b3c.html")</f>
        <v>https://santamariatimes.com/news/national/yogurts-can-make-limited-claim-that-the-food-reduces-risk-of-type-2-diabetes-fda/article_25f7fe90-4571-5d8d-b779-19221a700b3c.html</v>
      </c>
      <c r="C412" s="2" t="s">
        <v>1802</v>
      </c>
      <c r="D412" s="3">
        <v>45352</v>
      </c>
      <c r="E412" s="2" t="s">
        <v>828</v>
      </c>
    </row>
    <row r="413" spans="1:5" ht="84" x14ac:dyDescent="0.2">
      <c r="A413" s="2" t="s">
        <v>91</v>
      </c>
      <c r="B413" s="2" t="str">
        <f>HYPERLINK("https://www.dailyindependent.com/national/yogurts-can-make-limited-claim-that-the-food-reduces-risk-of-type-2-diabetes-fda/article_885e40d4-0852-5fee-ad00-9abc00a892f8.html")</f>
        <v>https://www.dailyindependent.com/national/yogurts-can-make-limited-claim-that-the-food-reduces-risk-of-type-2-diabetes-fda/article_885e40d4-0852-5fee-ad00-9abc00a892f8.html</v>
      </c>
      <c r="C413" s="2" t="s">
        <v>1805</v>
      </c>
      <c r="D413" s="3">
        <v>45352</v>
      </c>
      <c r="E413" s="2" t="s">
        <v>828</v>
      </c>
    </row>
    <row r="414" spans="1:5" ht="84" x14ac:dyDescent="0.2">
      <c r="A414" s="2" t="s">
        <v>91</v>
      </c>
      <c r="B414" s="2" t="str">
        <f>HYPERLINK("https://www.postregister.com/news/national/yogurts-can-make-limited-claim-that-the-food-reduces-risk-of-type-2-diabetes-fda/article_de1c8bb7-904e-5fdb-a9bd-6db8d4053869.html")</f>
        <v>https://www.postregister.com/news/national/yogurts-can-make-limited-claim-that-the-food-reduces-risk-of-type-2-diabetes-fda/article_de1c8bb7-904e-5fdb-a9bd-6db8d4053869.html</v>
      </c>
      <c r="C414" s="2" t="s">
        <v>1687</v>
      </c>
      <c r="D414" s="3">
        <v>45352</v>
      </c>
      <c r="E414" s="2" t="s">
        <v>828</v>
      </c>
    </row>
    <row r="415" spans="1:5" ht="84" x14ac:dyDescent="0.2">
      <c r="A415" s="2" t="s">
        <v>91</v>
      </c>
      <c r="B415" s="2" t="str">
        <f>HYPERLINK("https://www.rutlandherald.com/features/health/yogurts-can-make-limited-claim-that-the-food-reduces-risk-of-type-2-diabetes-fda/article_9c5821d0-5846-5e12-9f96-57a95616fcb0.html")</f>
        <v>https://www.rutlandherald.com/features/health/yogurts-can-make-limited-claim-that-the-food-reduces-risk-of-type-2-diabetes-fda/article_9c5821d0-5846-5e12-9f96-57a95616fcb0.html</v>
      </c>
      <c r="C415" s="2" t="s">
        <v>1851</v>
      </c>
      <c r="D415" s="3">
        <v>45352</v>
      </c>
      <c r="E415" s="2" t="s">
        <v>828</v>
      </c>
    </row>
    <row r="416" spans="1:5" ht="84" x14ac:dyDescent="0.2">
      <c r="A416" s="2" t="s">
        <v>91</v>
      </c>
      <c r="B416" s="2" t="str">
        <f>HYPERLINK("https://www.union-bulletin.com/news/national/yogurts-can-make-limited-claim-that-the-food-reduces-risk-of-type-2-diabetes-fda/article_36d4b1a3-0e20-5cf4-9516-a28b6122bb29.html")</f>
        <v>https://www.union-bulletin.com/news/national/yogurts-can-make-limited-claim-that-the-food-reduces-risk-of-type-2-diabetes-fda/article_36d4b1a3-0e20-5cf4-9516-a28b6122bb29.html</v>
      </c>
      <c r="C416" s="2" t="s">
        <v>1877</v>
      </c>
      <c r="D416" s="3">
        <v>45352</v>
      </c>
      <c r="E416" s="2" t="s">
        <v>828</v>
      </c>
    </row>
    <row r="417" spans="1:5" ht="84" x14ac:dyDescent="0.2">
      <c r="A417" s="2" t="s">
        <v>91</v>
      </c>
      <c r="B417" s="2" t="str">
        <f>HYPERLINK("https://www.reformer.com/ap/national/yogurts-can-make-limited-claim-that-the-food-reduces-risk-of-type-2-diabetes-fda/article_c5106f8c-dda5-5538-abf0-44819dc59191.html")</f>
        <v>https://www.reformer.com/ap/national/yogurts-can-make-limited-claim-that-the-food-reduces-risk-of-type-2-diabetes-fda/article_c5106f8c-dda5-5538-abf0-44819dc59191.html</v>
      </c>
      <c r="C417" s="2" t="s">
        <v>1922</v>
      </c>
      <c r="D417" s="3">
        <v>45352</v>
      </c>
      <c r="E417" s="2" t="s">
        <v>828</v>
      </c>
    </row>
    <row r="418" spans="1:5" ht="84" x14ac:dyDescent="0.2">
      <c r="A418" s="2" t="s">
        <v>91</v>
      </c>
      <c r="B418" s="2" t="str">
        <f>HYPERLINK("https://columbustelegram.com/news/nation-world/yogurt-diabetes-fda-type-2/article_2eb6ff52-04cf-5129-bfe4-f785224151d3.html")</f>
        <v>https://columbustelegram.com/news/nation-world/yogurt-diabetes-fda-type-2/article_2eb6ff52-04cf-5129-bfe4-f785224151d3.html</v>
      </c>
      <c r="C418" s="2" t="s">
        <v>1940</v>
      </c>
      <c r="D418" s="3">
        <v>45352</v>
      </c>
      <c r="E418" s="2" t="s">
        <v>828</v>
      </c>
    </row>
    <row r="419" spans="1:5" ht="84" x14ac:dyDescent="0.2">
      <c r="A419" s="2" t="s">
        <v>91</v>
      </c>
      <c r="B419" s="2" t="str">
        <f>HYPERLINK("https://www.nvdaily.com/associated_press_national/yogurts-can-make-limited-claim-that-the-food-reduces-risk-of-type-2-diabetes-fda/article_5d736d5e-2bb7-5fdb-a168-db36dde56bf9.html")</f>
        <v>https://www.nvdaily.com/associated_press_national/yogurts-can-make-limited-claim-that-the-food-reduces-risk-of-type-2-diabetes-fda/article_5d736d5e-2bb7-5fdb-a168-db36dde56bf9.html</v>
      </c>
      <c r="C419" s="2" t="s">
        <v>1998</v>
      </c>
      <c r="D419" s="3">
        <v>45352</v>
      </c>
      <c r="E419" s="2" t="s">
        <v>828</v>
      </c>
    </row>
    <row r="420" spans="1:5" ht="84" x14ac:dyDescent="0.2">
      <c r="A420" s="2" t="s">
        <v>91</v>
      </c>
      <c r="B420" s="2" t="str">
        <f>HYPERLINK("https://www.dnronline.com/associated_press/national/yogurts-can-make-limited-claim-that-the-food-reduces-risk-of-type-2-diabetes-fda/article_df285989-345c-5b6d-837b-b48d10b18725.html")</f>
        <v>https://www.dnronline.com/associated_press/national/yogurts-can-make-limited-claim-that-the-food-reduces-risk-of-type-2-diabetes-fda/article_df285989-345c-5b6d-837b-b48d10b18725.html</v>
      </c>
      <c r="C420" s="2" t="s">
        <v>1902</v>
      </c>
      <c r="D420" s="3">
        <v>45352</v>
      </c>
      <c r="E420" s="2" t="s">
        <v>828</v>
      </c>
    </row>
    <row r="421" spans="1:5" ht="84" x14ac:dyDescent="0.2">
      <c r="A421" s="2" t="s">
        <v>91</v>
      </c>
      <c r="B421" s="2" t="str">
        <f>HYPERLINK("https://www.bgdailynews.com/news/national/yogurts-can-make-limited-claim-that-the-food-reduces-risk-of-type-2-diabetes-fda/article_3260bc2b-024c-53df-8e52-b66c984d1874.html")</f>
        <v>https://www.bgdailynews.com/news/national/yogurts-can-make-limited-claim-that-the-food-reduces-risk-of-type-2-diabetes-fda/article_3260bc2b-024c-53df-8e52-b66c984d1874.html</v>
      </c>
      <c r="C421" s="2" t="s">
        <v>2060</v>
      </c>
      <c r="D421" s="3">
        <v>45352</v>
      </c>
      <c r="E421" s="2" t="s">
        <v>828</v>
      </c>
    </row>
    <row r="422" spans="1:5" ht="84" x14ac:dyDescent="0.2">
      <c r="A422" s="2" t="s">
        <v>91</v>
      </c>
      <c r="B422" s="2" t="str">
        <f>HYPERLINK("https://www.newspressnow.com/news/national_news/yogurts-can-make-limited-claim-that-the-food-reduces-risk-of-type-2-diabetes-fda/article_f3479a49-5405-54ed-a0e9-dc37601f4120.html")</f>
        <v>https://www.newspressnow.com/news/national_news/yogurts-can-make-limited-claim-that-the-food-reduces-risk-of-type-2-diabetes-fda/article_f3479a49-5405-54ed-a0e9-dc37601f4120.html</v>
      </c>
      <c r="C422" s="2" t="s">
        <v>2081</v>
      </c>
      <c r="D422" s="3">
        <v>45352</v>
      </c>
      <c r="E422" s="2" t="s">
        <v>828</v>
      </c>
    </row>
    <row r="423" spans="1:5" ht="84" x14ac:dyDescent="0.2">
      <c r="A423" s="2" t="s">
        <v>91</v>
      </c>
      <c r="B423" s="2" t="str">
        <f>HYPERLINK("https://www.eagletribune.com/region/yogurts-can-make-limited-claim-that-the-food-reduces-risk-of-type-2-diabetes-fda/article_c136c1e5-8d1d-5dc3-ada7-5df022336494.html")</f>
        <v>https://www.eagletribune.com/region/yogurts-can-make-limited-claim-that-the-food-reduces-risk-of-type-2-diabetes-fda/article_c136c1e5-8d1d-5dc3-ada7-5df022336494.html</v>
      </c>
      <c r="C423" s="2" t="s">
        <v>2105</v>
      </c>
      <c r="D423" s="3">
        <v>45352</v>
      </c>
      <c r="E423" s="2" t="s">
        <v>828</v>
      </c>
    </row>
    <row r="424" spans="1:5" ht="84" x14ac:dyDescent="0.2">
      <c r="A424" s="2" t="s">
        <v>91</v>
      </c>
      <c r="B424" s="2" t="str">
        <f>HYPERLINK("https://www.gjsentinel.com/news/us/yogurts-can-make-limited-claim-that-the-food-reduces-risk-of-type-2-diabetes-fda/article_bb2c4dab-26da-58bd-9c85-720e96d81bb8.html")</f>
        <v>https://www.gjsentinel.com/news/us/yogurts-can-make-limited-claim-that-the-food-reduces-risk-of-type-2-diabetes-fda/article_bb2c4dab-26da-58bd-9c85-720e96d81bb8.html</v>
      </c>
      <c r="C424" s="2" t="s">
        <v>2053</v>
      </c>
      <c r="D424" s="3">
        <v>45352</v>
      </c>
      <c r="E424" s="2" t="s">
        <v>828</v>
      </c>
    </row>
    <row r="425" spans="1:5" ht="84" x14ac:dyDescent="0.2">
      <c r="A425" s="2" t="s">
        <v>91</v>
      </c>
      <c r="B425" s="2" t="str">
        <f>HYPERLINK("https://www.kulr8.com/news/national/yogurts-can-make-limited-claim-that-the-food-reduces-risk-of-type-2-diabetes-fda/article_71d88aca-2be6-5099-ad7c-c39505d44075.html")</f>
        <v>https://www.kulr8.com/news/national/yogurts-can-make-limited-claim-that-the-food-reduces-risk-of-type-2-diabetes-fda/article_71d88aca-2be6-5099-ad7c-c39505d44075.html</v>
      </c>
      <c r="C425" s="2" t="s">
        <v>2042</v>
      </c>
      <c r="D425" s="3">
        <v>45352</v>
      </c>
      <c r="E425" s="2" t="s">
        <v>828</v>
      </c>
    </row>
    <row r="426" spans="1:5" ht="84" x14ac:dyDescent="0.2">
      <c r="A426" s="2" t="s">
        <v>91</v>
      </c>
      <c r="B426" s="2" t="str">
        <f>HYPERLINK("https://wacotrib.com/news/nation-world/yogurt-diabetes-fda-type-2/article_2d1d3263-3bfb-55a8-97a2-f40fcc630f4d.html")</f>
        <v>https://wacotrib.com/news/nation-world/yogurt-diabetes-fda-type-2/article_2d1d3263-3bfb-55a8-97a2-f40fcc630f4d.html</v>
      </c>
      <c r="C426" s="2" t="s">
        <v>2106</v>
      </c>
      <c r="D426" s="3">
        <v>45352</v>
      </c>
      <c r="E426" s="2" t="s">
        <v>828</v>
      </c>
    </row>
    <row r="427" spans="1:5" ht="84" x14ac:dyDescent="0.2">
      <c r="A427" s="2" t="s">
        <v>91</v>
      </c>
      <c r="B427" s="2" t="str">
        <f>HYPERLINK("https://www.mankatofreepress.com/news/state_national_news/yogurts-can-make-limited-claim-that-the-food-reduces-risk-of-type-2-diabetes-fda/article_9ae371f2-d5c8-5130-a654-f89adb1938b1.html")</f>
        <v>https://www.mankatofreepress.com/news/state_national_news/yogurts-can-make-limited-claim-that-the-food-reduces-risk-of-type-2-diabetes-fda/article_9ae371f2-d5c8-5130-a654-f89adb1938b1.html</v>
      </c>
      <c r="C427" s="2" t="s">
        <v>2043</v>
      </c>
      <c r="D427" s="3">
        <v>45352</v>
      </c>
      <c r="E427" s="2" t="s">
        <v>828</v>
      </c>
    </row>
    <row r="428" spans="1:5" ht="84" x14ac:dyDescent="0.2">
      <c r="A428" s="2" t="s">
        <v>2195</v>
      </c>
      <c r="B428" s="2" t="str">
        <f>HYPERLINK("https://www.yourvalley.net/stories/yogurts-can-make-limited-claim-that-the-food-reduces-risk-of-type-2-diabetes-fda-says,481658")</f>
        <v>https://www.yourvalley.net/stories/yogurts-can-make-limited-claim-that-the-food-reduces-risk-of-type-2-diabetes-fda-says,481658</v>
      </c>
      <c r="C428" s="2" t="s">
        <v>2130</v>
      </c>
      <c r="D428" s="3">
        <v>45352</v>
      </c>
      <c r="E428" s="2" t="s">
        <v>828</v>
      </c>
    </row>
    <row r="429" spans="1:5" ht="84" x14ac:dyDescent="0.2">
      <c r="A429" s="2" t="s">
        <v>91</v>
      </c>
      <c r="B429" s="2" t="str">
        <f>HYPERLINK("https://www.bozemandailychronicle.com/ap_news/yogurts-can-make-limited-claim-that-the-food-reduces-risk-of-type-2-diabetes-fda/article_9cb28a63-8076-5e72-902d-f51c1f02ecf3.html")</f>
        <v>https://www.bozemandailychronicle.com/ap_news/yogurts-can-make-limited-claim-that-the-food-reduces-risk-of-type-2-diabetes-fda/article_9cb28a63-8076-5e72-902d-f51c1f02ecf3.html</v>
      </c>
      <c r="C429" s="2" t="s">
        <v>2219</v>
      </c>
      <c r="D429" s="3">
        <v>45352</v>
      </c>
      <c r="E429" s="2" t="s">
        <v>828</v>
      </c>
    </row>
    <row r="430" spans="1:5" ht="84" x14ac:dyDescent="0.2">
      <c r="A430" s="2" t="s">
        <v>91</v>
      </c>
      <c r="B430" s="2" t="str">
        <f>HYPERLINK("https://www.hastingstribune.com/ap/health/yogurts-can-make-limited-claim-that-the-food-reduces-risk-of-type-2-diabetes-fda/article_bfded21c-8129-5a5e-b6c0-44cbcc65b71a.html")</f>
        <v>https://www.hastingstribune.com/ap/health/yogurts-can-make-limited-claim-that-the-food-reduces-risk-of-type-2-diabetes-fda/article_bfded21c-8129-5a5e-b6c0-44cbcc65b71a.html</v>
      </c>
      <c r="C430" s="2" t="s">
        <v>2221</v>
      </c>
      <c r="D430" s="3">
        <v>45352</v>
      </c>
      <c r="E430" s="2" t="s">
        <v>828</v>
      </c>
    </row>
    <row r="431" spans="1:5" ht="98" x14ac:dyDescent="0.2">
      <c r="A431" s="2" t="s">
        <v>826</v>
      </c>
      <c r="B431" s="2" t="str">
        <f>HYPERLINK("https://www.kdrv.com/news/healthwatch/yogurts-can-now-make-limited-claim-that-they-lower-type-2-diabetes-risk-fda-says/article_76fbec2e-7cc4-5743-ac04-437cb6659a36.html")</f>
        <v>https://www.kdrv.com/news/healthwatch/yogurts-can-now-make-limited-claim-that-they-lower-type-2-diabetes-risk-fda-says/article_76fbec2e-7cc4-5743-ac04-437cb6659a36.html</v>
      </c>
      <c r="C431" s="2" t="s">
        <v>2152</v>
      </c>
      <c r="D431" s="3">
        <v>45352</v>
      </c>
      <c r="E431" s="2" t="s">
        <v>378</v>
      </c>
    </row>
    <row r="432" spans="1:5" ht="42" x14ac:dyDescent="0.2">
      <c r="A432" s="2" t="s">
        <v>91</v>
      </c>
      <c r="B432" s="2" t="str">
        <f>HYPERLINK("http://accesswdun.com/article/2024/3/1230992")</f>
        <v>http://accesswdun.com/article/2024/3/1230992</v>
      </c>
      <c r="C432" s="2" t="s">
        <v>2256</v>
      </c>
      <c r="D432" s="3">
        <v>45352</v>
      </c>
      <c r="E432" s="2" t="s">
        <v>70</v>
      </c>
    </row>
    <row r="433" spans="1:5" ht="70" x14ac:dyDescent="0.2">
      <c r="A433" s="2" t="s">
        <v>91</v>
      </c>
      <c r="B433" s="2" t="str">
        <f>HYPERLINK("https://www.thepeterboroughexaminer.com/life/yogurts-can-make-limited-claim-that-the-food-reduces-risk-of-type-2-diabetes-fda/article_6c3f8f57-3a6d-513c-9a0e-1e36937a1d5a.html")</f>
        <v>https://www.thepeterboroughexaminer.com/life/yogurts-can-make-limited-claim-that-the-food-reduces-risk-of-type-2-diabetes-fda/article_6c3f8f57-3a6d-513c-9a0e-1e36937a1d5a.html</v>
      </c>
      <c r="C433" s="2" t="s">
        <v>2288</v>
      </c>
      <c r="D433" s="3">
        <v>45352</v>
      </c>
      <c r="E433" s="2" t="s">
        <v>70</v>
      </c>
    </row>
    <row r="434" spans="1:5" ht="98" x14ac:dyDescent="0.2">
      <c r="A434" s="2" t="s">
        <v>826</v>
      </c>
      <c r="B434" s="2" t="str">
        <f>HYPERLINK("https://www.ktbs.com/news/health/yogurts-can-now-make-limited-claim-that-they-lower-type-2-diabetes-risk-fda-says/article_360ca957-f5e8-5aa7-80c4-92fb8898e7ac.html")</f>
        <v>https://www.ktbs.com/news/health/yogurts-can-now-make-limited-claim-that-they-lower-type-2-diabetes-risk-fda-says/article_360ca957-f5e8-5aa7-80c4-92fb8898e7ac.html</v>
      </c>
      <c r="C434" s="2" t="s">
        <v>2216</v>
      </c>
      <c r="D434" s="3">
        <v>45352</v>
      </c>
      <c r="E434" s="2" t="s">
        <v>378</v>
      </c>
    </row>
    <row r="435" spans="1:5" ht="306" x14ac:dyDescent="0.2">
      <c r="A435" s="2" t="s">
        <v>91</v>
      </c>
      <c r="B435" s="2" t="str">
        <f>HYPERLINK("https://www.news8000.com/news/national-world/yogurt-diabetes-fda-type-2/article_9d27c153-8980-5089-841b-cfb90343e8ad.html")</f>
        <v>https://www.news8000.com/news/national-world/yogurt-diabetes-fda-type-2/article_9d27c153-8980-5089-841b-cfb90343e8ad.html</v>
      </c>
      <c r="C435" s="2" t="s">
        <v>2192</v>
      </c>
      <c r="D435" s="3">
        <v>45352</v>
      </c>
      <c r="E435" s="2" t="s">
        <v>2337</v>
      </c>
    </row>
    <row r="436" spans="1:5" ht="84" x14ac:dyDescent="0.2">
      <c r="A436" s="2" t="s">
        <v>91</v>
      </c>
      <c r="B436" s="2" t="str">
        <f>HYPERLINK("https://www.news8000.com/news/national-world/yogurts-can-make-limited-claim-that-the-food-reduces-risk-of-type-2-diabetes-fda/article_3f640bb9-7c11-53db-b295-3f56d60687a4.html")</f>
        <v>https://www.news8000.com/news/national-world/yogurts-can-make-limited-claim-that-the-food-reduces-risk-of-type-2-diabetes-fda/article_3f640bb9-7c11-53db-b295-3f56d60687a4.html</v>
      </c>
      <c r="C436" s="2" t="s">
        <v>2192</v>
      </c>
      <c r="D436" s="3">
        <v>45352</v>
      </c>
      <c r="E436" s="2" t="s">
        <v>828</v>
      </c>
    </row>
    <row r="437" spans="1:5" ht="84" x14ac:dyDescent="0.2">
      <c r="A437" s="2" t="s">
        <v>91</v>
      </c>
      <c r="B437" s="2" t="str">
        <f>HYPERLINK("https://pressofatlanticcity.com/news/nation-world/yogurt-diabetes-fda-type-2/article_64658f48-4881-5770-844b-4a62107c7601.html")</f>
        <v>https://pressofatlanticcity.com/news/nation-world/yogurt-diabetes-fda-type-2/article_64658f48-4881-5770-844b-4a62107c7601.html</v>
      </c>
      <c r="C437" s="2" t="s">
        <v>2191</v>
      </c>
      <c r="D437" s="3">
        <v>45352</v>
      </c>
      <c r="E437" s="2" t="s">
        <v>828</v>
      </c>
    </row>
    <row r="438" spans="1:5" ht="84" x14ac:dyDescent="0.2">
      <c r="A438" s="2" t="s">
        <v>91</v>
      </c>
      <c r="B438" s="2" t="str">
        <f>HYPERLINK("https://kdhnews.com/news/nation/yogurts-can-make-limited-claim-that-the-food-reduces-risk-of-type-2-diabetes-fda/article_5bf6d35b-a554-566c-9d8b-6a48c80eb0a5.html")</f>
        <v>https://kdhnews.com/news/nation/yogurts-can-make-limited-claim-that-the-food-reduces-risk-of-type-2-diabetes-fda/article_5bf6d35b-a554-566c-9d8b-6a48c80eb0a5.html</v>
      </c>
      <c r="C438" s="2" t="s">
        <v>2102</v>
      </c>
      <c r="D438" s="3">
        <v>45352</v>
      </c>
      <c r="E438" s="2" t="s">
        <v>828</v>
      </c>
    </row>
    <row r="439" spans="1:5" ht="84" x14ac:dyDescent="0.2">
      <c r="A439" s="2" t="s">
        <v>91</v>
      </c>
      <c r="B439" s="2" t="str">
        <f>HYPERLINK("https://www.wvnews.com/newsfeed/us/yogurts-can-make-limited-claim-that-the-food-reduces-risk-of-type-2-diabetes-fda/article_a4839cde-f531-50db-b6b0-e8501d6e8a5e.html")</f>
        <v>https://www.wvnews.com/newsfeed/us/yogurts-can-make-limited-claim-that-the-food-reduces-risk-of-type-2-diabetes-fda/article_a4839cde-f531-50db-b6b0-e8501d6e8a5e.html</v>
      </c>
      <c r="C439" s="2" t="s">
        <v>2453</v>
      </c>
      <c r="D439" s="3">
        <v>45352</v>
      </c>
      <c r="E439" s="2" t="s">
        <v>828</v>
      </c>
    </row>
    <row r="440" spans="1:5" ht="84" x14ac:dyDescent="0.2">
      <c r="A440" s="2" t="s">
        <v>91</v>
      </c>
      <c r="B440" s="2" t="str">
        <f>HYPERLINK("https://www.dailygazette.com/ap/national/yogurts-can-make-limited-claim-that-the-food-reduces-risk-of-type-2-diabetes-fda/article_441af6e3-fafc-5a08-a2b4-2a9539bb7afd.html")</f>
        <v>https://www.dailygazette.com/ap/national/yogurts-can-make-limited-claim-that-the-food-reduces-risk-of-type-2-diabetes-fda/article_441af6e3-fafc-5a08-a2b4-2a9539bb7afd.html</v>
      </c>
      <c r="C440" s="2" t="s">
        <v>2460</v>
      </c>
      <c r="D440" s="3">
        <v>45352</v>
      </c>
      <c r="E440" s="2" t="s">
        <v>828</v>
      </c>
    </row>
    <row r="441" spans="1:5" ht="70" x14ac:dyDescent="0.2">
      <c r="A441" s="2" t="s">
        <v>91</v>
      </c>
      <c r="B441" s="2" t="str">
        <f>HYPERLINK("https://www.stcatharinesstandard.ca/life/yogurts-can-make-limited-claim-that-the-food-reduces-risk-of-type-2-diabetes-fda/article_06696c54-7a7b-52bd-876c-5b2fdd75e6b0.html")</f>
        <v>https://www.stcatharinesstandard.ca/life/yogurts-can-make-limited-claim-that-the-food-reduces-risk-of-type-2-diabetes-fda/article_06696c54-7a7b-52bd-876c-5b2fdd75e6b0.html</v>
      </c>
      <c r="C441" s="2" t="s">
        <v>2398</v>
      </c>
      <c r="D441" s="3">
        <v>45352</v>
      </c>
      <c r="E441" s="2" t="s">
        <v>70</v>
      </c>
    </row>
    <row r="442" spans="1:5" ht="84" x14ac:dyDescent="0.2">
      <c r="A442" s="2" t="s">
        <v>91</v>
      </c>
      <c r="B442" s="2" t="str">
        <f>HYPERLINK("https://lancasteronline.com/news/health/yogurts-can-make-limited-claim-that-the-food-reduces-risk-of-type-2-diabetes-fda/article_abbe4bdb-16f0-5024-b830-232388549954.html")</f>
        <v>https://lancasteronline.com/news/health/yogurts-can-make-limited-claim-that-the-food-reduces-risk-of-type-2-diabetes-fda/article_abbe4bdb-16f0-5024-b830-232388549954.html</v>
      </c>
      <c r="C442" s="2" t="s">
        <v>2697</v>
      </c>
      <c r="D442" s="3">
        <v>45352</v>
      </c>
      <c r="E442" s="2" t="s">
        <v>828</v>
      </c>
    </row>
    <row r="443" spans="1:5" ht="84" x14ac:dyDescent="0.2">
      <c r="A443" s="2" t="s">
        <v>91</v>
      </c>
      <c r="B443" s="2" t="str">
        <f>HYPERLINK("https://tulsaworld.com/news/nation-world/yogurt-diabetes-fda-type-2/article_7877b246-7418-5fcb-af1d-e0bcbf0cd595.html")</f>
        <v>https://tulsaworld.com/news/nation-world/yogurt-diabetes-fda-type-2/article_7877b246-7418-5fcb-af1d-e0bcbf0cd595.html</v>
      </c>
      <c r="C443" s="2" t="s">
        <v>2666</v>
      </c>
      <c r="D443" s="3">
        <v>45352</v>
      </c>
      <c r="E443" s="2" t="s">
        <v>828</v>
      </c>
    </row>
    <row r="444" spans="1:5" ht="84" x14ac:dyDescent="0.2">
      <c r="A444" s="2" t="s">
        <v>91</v>
      </c>
      <c r="B444" s="2" t="str">
        <f>HYPERLINK("https://www.2news.com/news/national/yogurts-can-make-limited-claim-that-the-food-reduces-risk-of-type-2-diabetes-fda/article_6f7d6a63-28aa-5b79-81ca-b4585b69360b.html")</f>
        <v>https://www.2news.com/news/national/yogurts-can-make-limited-claim-that-the-food-reduces-risk-of-type-2-diabetes-fda/article_6f7d6a63-28aa-5b79-81ca-b4585b69360b.html</v>
      </c>
      <c r="C444" s="2" t="s">
        <v>2473</v>
      </c>
      <c r="D444" s="3">
        <v>45352</v>
      </c>
      <c r="E444" s="2" t="s">
        <v>828</v>
      </c>
    </row>
    <row r="445" spans="1:5" ht="84" x14ac:dyDescent="0.2">
      <c r="A445" s="2" t="s">
        <v>91</v>
      </c>
      <c r="B445" s="2" t="str">
        <f>HYPERLINK("http://www.wfmz.com/news/yogurts-can-make-limited-claim-that-the-food-reduces-risk-of-type-2-diabetes-fda/article_e60079fd-efa3-5ba3-b916-9d8ef700191d.html")</f>
        <v>http://www.wfmz.com/news/yogurts-can-make-limited-claim-that-the-food-reduces-risk-of-type-2-diabetes-fda/article_e60079fd-efa3-5ba3-b916-9d8ef700191d.html</v>
      </c>
      <c r="C445" s="2" t="s">
        <v>2745</v>
      </c>
      <c r="D445" s="3">
        <v>45352</v>
      </c>
      <c r="E445" s="2" t="s">
        <v>828</v>
      </c>
    </row>
    <row r="446" spans="1:5" ht="70" x14ac:dyDescent="0.2">
      <c r="A446" s="2" t="s">
        <v>91</v>
      </c>
      <c r="B446" s="2" t="str">
        <f>HYPERLINK("https://www.thestar.com/news/world/united-states/yogurts-can-make-limited-claim-that-the-food-reduces-risk-of-type-2-diabetes-fda/article_418a664d-3942-52a2-bc78-a183274325a7.html")</f>
        <v>https://www.thestar.com/news/world/united-states/yogurts-can-make-limited-claim-that-the-food-reduces-risk-of-type-2-diabetes-fda/article_418a664d-3942-52a2-bc78-a183274325a7.html</v>
      </c>
      <c r="C446" s="2" t="s">
        <v>3359</v>
      </c>
      <c r="D446" s="3">
        <v>45352</v>
      </c>
      <c r="E446" s="2" t="s">
        <v>70</v>
      </c>
    </row>
    <row r="447" spans="1:5" ht="140" x14ac:dyDescent="0.2">
      <c r="A447" s="2" t="s">
        <v>740</v>
      </c>
      <c r="B447" s="2" t="str">
        <f>HYPERLINK("https://www.drugs.com/news/yogurt-makers-can-make-limited-claims-type-2-diabetes-prevention-fda-117953.html")</f>
        <v>https://www.drugs.com/news/yogurt-makers-can-make-limited-claims-type-2-diabetes-prevention-fda-117953.html</v>
      </c>
      <c r="C447" s="2" t="s">
        <v>3545</v>
      </c>
      <c r="D447" s="3">
        <v>45352</v>
      </c>
      <c r="E447" s="2" t="s">
        <v>3546</v>
      </c>
    </row>
    <row r="448" spans="1:5" ht="84" x14ac:dyDescent="0.2">
      <c r="A448" s="2" t="s">
        <v>91</v>
      </c>
      <c r="B448" s="2" t="str">
        <f>HYPERLINK("https://www.yoursourceone.com/news/national_news/yogurts-can-make-limited-claim-that-the-food-reduces-risk-of-type-2-diabetes-fda/article_278c3218-795b-5987-926c-088325f950ec.html")</f>
        <v>https://www.yoursourceone.com/news/national_news/yogurts-can-make-limited-claim-that-the-food-reduces-risk-of-type-2-diabetes-fda/article_278c3218-795b-5987-926c-088325f950ec.html</v>
      </c>
      <c r="C448" s="2" t="s">
        <v>3792</v>
      </c>
      <c r="D448" s="3">
        <v>45352</v>
      </c>
      <c r="E448" s="2" t="s">
        <v>828</v>
      </c>
    </row>
    <row r="449" spans="1:5" ht="84" x14ac:dyDescent="0.2">
      <c r="A449" s="2" t="s">
        <v>91</v>
      </c>
      <c r="B449" s="2" t="str">
        <f>HYPERLINK("https://www.heraldbanner.com/ap/yogurts-can-make-limited-claim-that-the-food-reduces-risk-of-type-2-diabetes-fda/article_8f6ca2e4-d36f-587a-9fa8-c8af5661925e.html")</f>
        <v>https://www.heraldbanner.com/ap/yogurts-can-make-limited-claim-that-the-food-reduces-risk-of-type-2-diabetes-fda/article_8f6ca2e4-d36f-587a-9fa8-c8af5661925e.html</v>
      </c>
      <c r="C449" s="2" t="s">
        <v>4022</v>
      </c>
      <c r="D449" s="3">
        <v>45352</v>
      </c>
      <c r="E449" s="2" t="s">
        <v>828</v>
      </c>
    </row>
    <row r="450" spans="1:5" ht="84" x14ac:dyDescent="0.2">
      <c r="A450" s="2" t="s">
        <v>91</v>
      </c>
      <c r="B450" s="2" t="str">
        <f>HYPERLINK("https://www.wtva.com/news/national/yogurts-can-make-limited-claim-that-the-food-reduces-risk-of-type-2-diabetes-fda/article_e2b6e35c-1cf2-5371-bddb-11dc8eb76243.html")</f>
        <v>https://www.wtva.com/news/national/yogurts-can-make-limited-claim-that-the-food-reduces-risk-of-type-2-diabetes-fda/article_e2b6e35c-1cf2-5371-bddb-11dc8eb76243.html</v>
      </c>
      <c r="C450" s="2" t="s">
        <v>1942</v>
      </c>
      <c r="D450" s="3">
        <v>45352.201481481483</v>
      </c>
      <c r="E450" s="2" t="s">
        <v>1237</v>
      </c>
    </row>
    <row r="451" spans="1:5" ht="238" x14ac:dyDescent="0.2">
      <c r="A451" s="2" t="s">
        <v>2774</v>
      </c>
      <c r="B451" s="2" t="str">
        <f>HYPERLINK("https://nutritionfacts.org/video/friday-favorites-the-role-of-marketing-and-food-advertisements-in-the-obesity-epidemic/")</f>
        <v>https://nutritionfacts.org/video/friday-favorites-the-role-of-marketing-and-food-advertisements-in-the-obesity-epidemic/</v>
      </c>
      <c r="C451" s="2" t="s">
        <v>2775</v>
      </c>
      <c r="D451" s="3">
        <v>45352.326724537037</v>
      </c>
      <c r="E451" s="2" t="s">
        <v>2776</v>
      </c>
    </row>
    <row r="452" spans="1:5" ht="238" x14ac:dyDescent="0.2">
      <c r="A452" s="2" t="s">
        <v>2777</v>
      </c>
      <c r="B452" s="2" t="str">
        <f>HYPERLINK("https://nutritionfacts.org/es/video/friday-favorites-el-papel-del-marketing-y-los-anuncios-de-comida-en-la-epidemia-de-obesidad/")</f>
        <v>https://nutritionfacts.org/es/video/friday-favorites-el-papel-del-marketing-y-los-anuncios-de-comida-en-la-epidemia-de-obesidad/</v>
      </c>
      <c r="C452" s="2" t="s">
        <v>2775</v>
      </c>
      <c r="D452" s="3">
        <v>45352.326724537037</v>
      </c>
      <c r="E452" s="2" t="s">
        <v>2776</v>
      </c>
    </row>
    <row r="453" spans="1:5" ht="84" x14ac:dyDescent="0.2">
      <c r="A453" s="2" t="s">
        <v>2258</v>
      </c>
      <c r="B453" s="2" t="str">
        <f>HYPERLINK("https://krcgtv.com/news/nation-world/yogurts-makers-can-make-limited-claim-the-food-reduces-risk-of-type-2-diabetes-fda-says")</f>
        <v>https://krcgtv.com/news/nation-world/yogurts-makers-can-make-limited-claim-the-food-reduces-risk-of-type-2-diabetes-fda-says</v>
      </c>
      <c r="C453" s="2" t="s">
        <v>2259</v>
      </c>
      <c r="D453" s="3">
        <v>45352.361273148148</v>
      </c>
      <c r="E453" s="2" t="s">
        <v>1237</v>
      </c>
    </row>
    <row r="454" spans="1:5" ht="84" x14ac:dyDescent="0.2">
      <c r="A454" s="2" t="s">
        <v>91</v>
      </c>
      <c r="B454" s="2" t="str">
        <f>HYPERLINK("https://13wham.com/news/nation-world/yogurts-can-make-limited-claim-that-the-food-reduces-risk-of-type-2-diabetes-fda-says")</f>
        <v>https://13wham.com/news/nation-world/yogurts-can-make-limited-claim-that-the-food-reduces-risk-of-type-2-diabetes-fda-says</v>
      </c>
      <c r="C454" s="2" t="s">
        <v>2646</v>
      </c>
      <c r="D454" s="3">
        <v>45352.448761574073</v>
      </c>
      <c r="E454" s="2" t="s">
        <v>558</v>
      </c>
    </row>
    <row r="455" spans="1:5" ht="42" x14ac:dyDescent="0.2">
      <c r="A455" s="2" t="s">
        <v>91</v>
      </c>
      <c r="B455" s="2" t="str">
        <f>HYPERLINK("https://lasvegassun.com/news/2024/mar/01/yogurts-can-make-limited-claim-that-the-food-reduc/")</f>
        <v>https://lasvegassun.com/news/2024/mar/01/yogurts-can-make-limited-claim-that-the-food-reduc/</v>
      </c>
      <c r="C455" s="2" t="s">
        <v>2601</v>
      </c>
      <c r="D455" s="3">
        <v>45352.45416666667</v>
      </c>
      <c r="E455" s="2" t="s">
        <v>70</v>
      </c>
    </row>
    <row r="456" spans="1:5" ht="98" x14ac:dyDescent="0.2">
      <c r="A456" s="2" t="s">
        <v>3893</v>
      </c>
      <c r="B456" s="2" t="str">
        <f>HYPERLINK("https://news.thin-ink.net/p/these-technologies-are-not-about")</f>
        <v>https://news.thin-ink.net/p/these-technologies-are-not-about</v>
      </c>
      <c r="C456" s="2" t="s">
        <v>3740</v>
      </c>
      <c r="D456" s="3">
        <v>45352.45890046296</v>
      </c>
      <c r="E456" s="2" t="s">
        <v>3894</v>
      </c>
    </row>
    <row r="457" spans="1:5" ht="56" x14ac:dyDescent="0.2">
      <c r="A457" s="2" t="s">
        <v>91</v>
      </c>
      <c r="B457" s="2" t="str">
        <f>HYPERLINK("https://www.the-journal.com/articles/yogurts-can-make-limited-claim-that-the-food-reduces-risk-of-type-2-diabetes-fda-says/")</f>
        <v>https://www.the-journal.com/articles/yogurts-can-make-limited-claim-that-the-food-reduces-risk-of-type-2-diabetes-fda-says/</v>
      </c>
      <c r="C457" s="2" t="s">
        <v>1669</v>
      </c>
      <c r="D457" s="3">
        <v>45352.495833333327</v>
      </c>
      <c r="E457" s="2" t="s">
        <v>70</v>
      </c>
    </row>
    <row r="458" spans="1:5" ht="56" x14ac:dyDescent="0.2">
      <c r="A458" s="2" t="s">
        <v>91</v>
      </c>
      <c r="B458" s="2" t="str">
        <f>HYPERLINK("https://www.durangoherald.com/articles/yogurts-can-make-limited-claim-that-the-food-reduces-risk-of-type-2-diabetes-fda-says/")</f>
        <v>https://www.durangoherald.com/articles/yogurts-can-make-limited-claim-that-the-food-reduces-risk-of-type-2-diabetes-fda-says/</v>
      </c>
      <c r="C458" s="2" t="s">
        <v>2170</v>
      </c>
      <c r="D458" s="3">
        <v>45352.495833333327</v>
      </c>
      <c r="E458" s="2" t="s">
        <v>70</v>
      </c>
    </row>
    <row r="459" spans="1:5" ht="42" x14ac:dyDescent="0.2">
      <c r="A459" s="2" t="s">
        <v>91</v>
      </c>
      <c r="B459" s="2" t="str">
        <f>HYPERLINK("https://nz.news.yahoo.com/yogurts-limited-claim-food-reduces-185433104.html")</f>
        <v>https://nz.news.yahoo.com/yogurts-limited-claim-food-reduces-185433104.html</v>
      </c>
      <c r="C459" s="2" t="s">
        <v>2518</v>
      </c>
      <c r="D459" s="3">
        <v>45352.579548611109</v>
      </c>
      <c r="E459" s="2" t="s">
        <v>70</v>
      </c>
    </row>
    <row r="460" spans="1:5" ht="42" x14ac:dyDescent="0.2">
      <c r="A460" s="2" t="s">
        <v>91</v>
      </c>
      <c r="B460" s="2" t="str">
        <f>HYPERLINK("https://au.news.yahoo.com/yogurts-limited-claim-food-reduces-185433104.html")</f>
        <v>https://au.news.yahoo.com/yogurts-limited-claim-food-reduces-185433104.html</v>
      </c>
      <c r="C460" s="2" t="s">
        <v>3069</v>
      </c>
      <c r="D460" s="3">
        <v>45352.579548611109</v>
      </c>
      <c r="E460" s="2" t="s">
        <v>549</v>
      </c>
    </row>
    <row r="461" spans="1:5" ht="42" x14ac:dyDescent="0.2">
      <c r="A461" s="2" t="s">
        <v>91</v>
      </c>
      <c r="B461" s="2" t="str">
        <f>HYPERLINK("https://uk.news.yahoo.com/yogurts-limited-claim-food-reduces-185433104.html")</f>
        <v>https://uk.news.yahoo.com/yogurts-limited-claim-food-reduces-185433104.html</v>
      </c>
      <c r="C461" s="2" t="s">
        <v>3264</v>
      </c>
      <c r="D461" s="3">
        <v>45352.579548611109</v>
      </c>
      <c r="E461" s="2" t="s">
        <v>549</v>
      </c>
    </row>
    <row r="462" spans="1:5" ht="84" x14ac:dyDescent="0.2">
      <c r="A462" s="2" t="s">
        <v>91</v>
      </c>
      <c r="B462" s="2" t="str">
        <f>HYPERLINK("https://860amtheanswer.com/news/national/yogurts-can-make-limited-claim-that-the-food-reduces-risk-of-type-2-diabetes-fda/06f67fbea87fcb7b35176520f50acbc8")</f>
        <v>https://860amtheanswer.com/news/national/yogurts-can-make-limited-claim-that-the-food-reduces-risk-of-type-2-diabetes-fda/06f67fbea87fcb7b35176520f50acbc8</v>
      </c>
      <c r="C462" s="2" t="s">
        <v>619</v>
      </c>
      <c r="D462" s="3">
        <v>45352.579560185193</v>
      </c>
      <c r="E462" s="2" t="s">
        <v>70</v>
      </c>
    </row>
    <row r="463" spans="1:5" ht="84" x14ac:dyDescent="0.2">
      <c r="A463" s="2" t="s">
        <v>91</v>
      </c>
      <c r="B463" s="2" t="str">
        <f>HYPERLINK("https://am1460theanswer.com/news/national/yogurts-can-make-limited-claim-that-the-food-reduces-risk-of-type-2-diabetes-fda/06f67fbea87fcb7b35176520f50acbc8")</f>
        <v>https://am1460theanswer.com/news/national/yogurts-can-make-limited-claim-that-the-food-reduces-risk-of-type-2-diabetes-fda/06f67fbea87fcb7b35176520f50acbc8</v>
      </c>
      <c r="C463" s="2" t="s">
        <v>562</v>
      </c>
      <c r="D463" s="3">
        <v>45352.579560185193</v>
      </c>
      <c r="E463" s="2" t="s">
        <v>70</v>
      </c>
    </row>
    <row r="464" spans="1:5" ht="70" x14ac:dyDescent="0.2">
      <c r="A464" s="2" t="s">
        <v>91</v>
      </c>
      <c r="B464" s="2" t="str">
        <f>HYPERLINK("https://whkradio.com/news/national/yogurts-can-make-limited-claim-that-the-food-reduces-risk-of-type-2-diabetes-fda/06f67fbea87fcb7b35176520f50acbc8")</f>
        <v>https://whkradio.com/news/national/yogurts-can-make-limited-claim-that-the-food-reduces-risk-of-type-2-diabetes-fda/06f67fbea87fcb7b35176520f50acbc8</v>
      </c>
      <c r="C464" s="2" t="s">
        <v>883</v>
      </c>
      <c r="D464" s="3">
        <v>45352.579560185193</v>
      </c>
      <c r="E464" s="2" t="s">
        <v>70</v>
      </c>
    </row>
    <row r="465" spans="1:5" ht="84" x14ac:dyDescent="0.2">
      <c r="A465" s="2" t="s">
        <v>91</v>
      </c>
      <c r="B465" s="2" t="str">
        <f>HYPERLINK("https://am920theanswer.com/news/national/yogurts-can-make-limited-claim-that-the-food-reduces-risk-of-type-2-diabetes-fda/06f67fbea87fcb7b35176520f50acbc8")</f>
        <v>https://am920theanswer.com/news/national/yogurts-can-make-limited-claim-that-the-food-reduces-risk-of-type-2-diabetes-fda/06f67fbea87fcb7b35176520f50acbc8</v>
      </c>
      <c r="C465" s="2" t="s">
        <v>773</v>
      </c>
      <c r="D465" s="3">
        <v>45352.579560185193</v>
      </c>
      <c r="E465" s="2" t="s">
        <v>828</v>
      </c>
    </row>
    <row r="466" spans="1:5" ht="84" x14ac:dyDescent="0.2">
      <c r="A466" s="2" t="s">
        <v>91</v>
      </c>
      <c r="B466" s="2" t="str">
        <f>HYPERLINK("https://theanswerseattle.com/news/national/yogurts-can-make-limited-claim-that-the-food-reduces-risk-of-type-2-diabetes-fda/06f67fbea87fcb7b35176520f50acbc8")</f>
        <v>https://theanswerseattle.com/news/national/yogurts-can-make-limited-claim-that-the-food-reduces-risk-of-type-2-diabetes-fda/06f67fbea87fcb7b35176520f50acbc8</v>
      </c>
      <c r="C466" s="2" t="s">
        <v>1135</v>
      </c>
      <c r="D466" s="3">
        <v>45352.579560185193</v>
      </c>
      <c r="E466" s="2" t="s">
        <v>70</v>
      </c>
    </row>
    <row r="467" spans="1:5" ht="84" x14ac:dyDescent="0.2">
      <c r="A467" s="2" t="s">
        <v>91</v>
      </c>
      <c r="B467" s="2" t="str">
        <f>HYPERLINK("https://560theanswer.com/news/national/yogurts-can-make-limited-claim-that-the-food-reduces-risk-of-type-2-diabetes-fda/06f67fbea87fcb7b35176520f50acbc8")</f>
        <v>https://560theanswer.com/news/national/yogurts-can-make-limited-claim-that-the-food-reduces-risk-of-type-2-diabetes-fda/06f67fbea87fcb7b35176520f50acbc8</v>
      </c>
      <c r="C467" s="2" t="s">
        <v>1398</v>
      </c>
      <c r="D467" s="3">
        <v>45352.579560185193</v>
      </c>
      <c r="E467" s="2" t="s">
        <v>70</v>
      </c>
    </row>
    <row r="468" spans="1:5" ht="56" x14ac:dyDescent="0.2">
      <c r="A468" s="2" t="s">
        <v>91</v>
      </c>
      <c r="B468" s="2" t="str">
        <f>HYPERLINK("https://www.informnny.com/news/health-news/ap-yogurts-can-make-limited-claim-that-the-food-reduces-risk-of-type-2-diabetes-fda-says/")</f>
        <v>https://www.informnny.com/news/health-news/ap-yogurts-can-make-limited-claim-that-the-food-reduces-risk-of-type-2-diabetes-fda-says/</v>
      </c>
      <c r="C468" s="2" t="s">
        <v>1660</v>
      </c>
      <c r="D468" s="3">
        <v>45352.579560185193</v>
      </c>
      <c r="E468" s="2" t="s">
        <v>70</v>
      </c>
    </row>
    <row r="469" spans="1:5" ht="56" x14ac:dyDescent="0.2">
      <c r="A469" s="2" t="s">
        <v>91</v>
      </c>
      <c r="B469" s="2" t="str">
        <f>HYPERLINK("https://phl17.com/health/ap-health/ap-yogurts-can-make-limited-claim-that-the-food-reduces-risk-of-type-2-diabetes-fda-says/")</f>
        <v>https://phl17.com/health/ap-health/ap-yogurts-can-make-limited-claim-that-the-food-reduces-risk-of-type-2-diabetes-fda-says/</v>
      </c>
      <c r="C469" s="2" t="s">
        <v>1695</v>
      </c>
      <c r="D469" s="3">
        <v>45352.579560185193</v>
      </c>
      <c r="E469" s="2" t="s">
        <v>70</v>
      </c>
    </row>
    <row r="470" spans="1:5" ht="70" x14ac:dyDescent="0.2">
      <c r="A470" s="2" t="s">
        <v>91</v>
      </c>
      <c r="B470" s="2" t="str">
        <f>HYPERLINK("https://www.yourconroenews.com/news/article/yogurts-can-make-limited-claim-that-the-food-18698621.php")</f>
        <v>https://www.yourconroenews.com/news/article/yogurts-can-make-limited-claim-that-the-food-18698621.php</v>
      </c>
      <c r="C470" s="2" t="s">
        <v>1702</v>
      </c>
      <c r="D470" s="3">
        <v>45352.579560185193</v>
      </c>
      <c r="E470" s="2" t="s">
        <v>1703</v>
      </c>
    </row>
    <row r="471" spans="1:5" ht="70" x14ac:dyDescent="0.2">
      <c r="A471" s="2" t="s">
        <v>91</v>
      </c>
      <c r="B471" s="2" t="str">
        <f>HYPERLINK("https://www.registercitizen.com/news/article/yogurts-can-make-limited-claim-that-the-food-18698621.php")</f>
        <v>https://www.registercitizen.com/news/article/yogurts-can-make-limited-claim-that-the-food-18698621.php</v>
      </c>
      <c r="C471" s="2" t="s">
        <v>1763</v>
      </c>
      <c r="D471" s="3">
        <v>45352.579560185193</v>
      </c>
      <c r="E471" s="2" t="s">
        <v>1703</v>
      </c>
    </row>
    <row r="472" spans="1:5" ht="84" x14ac:dyDescent="0.2">
      <c r="A472" s="2" t="s">
        <v>91</v>
      </c>
      <c r="B472" s="2" t="str">
        <f>HYPERLINK("https://www.bigrapidsnews.com/news/article/yogurts-can-make-limited-claim-that-the-food-18698621.php")</f>
        <v>https://www.bigrapidsnews.com/news/article/yogurts-can-make-limited-claim-that-the-food-18698621.php</v>
      </c>
      <c r="C472" s="2" t="s">
        <v>1771</v>
      </c>
      <c r="D472" s="3">
        <v>45352.579560185193</v>
      </c>
      <c r="E472" s="2" t="s">
        <v>828</v>
      </c>
    </row>
    <row r="473" spans="1:5" ht="70" x14ac:dyDescent="0.2">
      <c r="A473" s="2" t="s">
        <v>91</v>
      </c>
      <c r="B473" s="2" t="str">
        <f>HYPERLINK("https://www.manisteenews.com/news/article/yogurts-can-make-limited-claim-that-the-food-18698621.php")</f>
        <v>https://www.manisteenews.com/news/article/yogurts-can-make-limited-claim-that-the-food-18698621.php</v>
      </c>
      <c r="C473" s="2" t="s">
        <v>1776</v>
      </c>
      <c r="D473" s="3">
        <v>45352.579560185193</v>
      </c>
      <c r="E473" s="2" t="s">
        <v>1703</v>
      </c>
    </row>
    <row r="474" spans="1:5" ht="70" x14ac:dyDescent="0.2">
      <c r="A474" s="2" t="s">
        <v>91</v>
      </c>
      <c r="B474" s="2" t="str">
        <f>HYPERLINK("https://www.binghamtonhomepage.com/life-health/health/ap-yogurts-can-make-limited-claim-that-the-food-reduces-risk-of-type-2-diabetes-fda-says/")</f>
        <v>https://www.binghamtonhomepage.com/life-health/health/ap-yogurts-can-make-limited-claim-that-the-food-reduces-risk-of-type-2-diabetes-fda-says/</v>
      </c>
      <c r="C474" s="2" t="s">
        <v>1895</v>
      </c>
      <c r="D474" s="3">
        <v>45352.579560185193</v>
      </c>
      <c r="E474" s="2" t="s">
        <v>70</v>
      </c>
    </row>
    <row r="475" spans="1:5" ht="70" x14ac:dyDescent="0.2">
      <c r="A475" s="2" t="s">
        <v>91</v>
      </c>
      <c r="B475" s="2" t="str">
        <f>HYPERLINK("https://www.myjournalcourier.com/news/article/yogurts-can-make-limited-claim-that-the-food-18698621.php")</f>
        <v>https://www.myjournalcourier.com/news/article/yogurts-can-make-limited-claim-that-the-food-18698621.php</v>
      </c>
      <c r="C475" s="2" t="s">
        <v>2078</v>
      </c>
      <c r="D475" s="3">
        <v>45352.579560185193</v>
      </c>
      <c r="E475" s="2" t="s">
        <v>1703</v>
      </c>
    </row>
    <row r="476" spans="1:5" ht="70" x14ac:dyDescent="0.2">
      <c r="A476" s="2" t="s">
        <v>91</v>
      </c>
      <c r="B476" s="2" t="str">
        <f>HYPERLINK("https://www.middletownpress.com/news/article/yogurts-can-make-limited-claim-that-the-food-18698621.php")</f>
        <v>https://www.middletownpress.com/news/article/yogurts-can-make-limited-claim-that-the-food-18698621.php</v>
      </c>
      <c r="C476" s="2" t="s">
        <v>2082</v>
      </c>
      <c r="D476" s="3">
        <v>45352.579560185193</v>
      </c>
      <c r="E476" s="2" t="s">
        <v>1703</v>
      </c>
    </row>
    <row r="477" spans="1:5" ht="56" x14ac:dyDescent="0.2">
      <c r="A477" s="2" t="s">
        <v>91</v>
      </c>
      <c r="B477" s="2" t="str">
        <f>HYPERLINK("https://www.siouxlandproud.com/news/health/ap-yogurts-can-make-limited-claim-that-the-food-reduces-risk-of-type-2-diabetes-fda-says/")</f>
        <v>https://www.siouxlandproud.com/news/health/ap-yogurts-can-make-limited-claim-that-the-food-reduces-risk-of-type-2-diabetes-fda-says/</v>
      </c>
      <c r="C477" s="2" t="s">
        <v>2005</v>
      </c>
      <c r="D477" s="3">
        <v>45352.579560185193</v>
      </c>
      <c r="E477" s="2" t="s">
        <v>70</v>
      </c>
    </row>
    <row r="478" spans="1:5" ht="56" x14ac:dyDescent="0.2">
      <c r="A478" s="2" t="s">
        <v>91</v>
      </c>
      <c r="B478" s="2" t="str">
        <f>HYPERLINK("https://www.myhighplains.com/news/for-your-health/ap-yogurts-can-make-limited-claim-that-the-food-reduces-risk-of-type-2-diabetes-fda-says/")</f>
        <v>https://www.myhighplains.com/news/for-your-health/ap-yogurts-can-make-limited-claim-that-the-food-reduces-risk-of-type-2-diabetes-fda-says/</v>
      </c>
      <c r="C478" s="2" t="s">
        <v>2110</v>
      </c>
      <c r="D478" s="3">
        <v>45352.579560185193</v>
      </c>
      <c r="E478" s="2" t="s">
        <v>70</v>
      </c>
    </row>
    <row r="479" spans="1:5" ht="70" x14ac:dyDescent="0.2">
      <c r="A479" s="2" t="s">
        <v>91</v>
      </c>
      <c r="B479" s="2" t="str">
        <f>HYPERLINK("https://www.mrt.com/news/article/yogurts-can-make-limited-claim-that-the-food-18698621.php")</f>
        <v>https://www.mrt.com/news/article/yogurts-can-make-limited-claim-that-the-food-18698621.php</v>
      </c>
      <c r="C479" s="2" t="s">
        <v>2132</v>
      </c>
      <c r="D479" s="3">
        <v>45352.579560185193</v>
      </c>
      <c r="E479" s="2" t="s">
        <v>1703</v>
      </c>
    </row>
    <row r="480" spans="1:5" ht="56" x14ac:dyDescent="0.2">
      <c r="A480" s="2" t="s">
        <v>91</v>
      </c>
      <c r="B480" s="2" t="str">
        <f>HYPERLINK("https://www.mypanhandle.com/health/ap-yogurts-can-make-limited-claim-that-the-food-reduces-risk-of-type-2-diabetes-fda-says/")</f>
        <v>https://www.mypanhandle.com/health/ap-yogurts-can-make-limited-claim-that-the-food-reduces-risk-of-type-2-diabetes-fda-says/</v>
      </c>
      <c r="C480" s="2" t="s">
        <v>2154</v>
      </c>
      <c r="D480" s="3">
        <v>45352.579560185193</v>
      </c>
      <c r="E480" s="2" t="s">
        <v>70</v>
      </c>
    </row>
    <row r="481" spans="1:5" ht="70" x14ac:dyDescent="0.2">
      <c r="A481" s="2" t="s">
        <v>91</v>
      </c>
      <c r="B481" s="2" t="str">
        <f>HYPERLINK("https://www.tristatehomepage.com/news/health/ap-health/ap-yogurts-can-make-limited-claim-that-the-food-reduces-risk-of-type-2-diabetes-fda-says/")</f>
        <v>https://www.tristatehomepage.com/news/health/ap-health/ap-yogurts-can-make-limited-claim-that-the-food-reduces-risk-of-type-2-diabetes-fda-says/</v>
      </c>
      <c r="C481" s="2" t="s">
        <v>2252</v>
      </c>
      <c r="D481" s="3">
        <v>45352.579560185193</v>
      </c>
      <c r="E481" s="2" t="s">
        <v>70</v>
      </c>
    </row>
    <row r="482" spans="1:5" ht="56" x14ac:dyDescent="0.2">
      <c r="A482" s="2" t="s">
        <v>91</v>
      </c>
      <c r="B482" s="2" t="str">
        <f>HYPERLINK("https://www.brproud.com/news/health/health-minute/ap-yogurts-can-make-limited-claim-that-the-food-reduces-risk-of-type-2-diabetes-fda-says/")</f>
        <v>https://www.brproud.com/news/health/health-minute/ap-yogurts-can-make-limited-claim-that-the-food-reduces-risk-of-type-2-diabetes-fda-says/</v>
      </c>
      <c r="C482" s="2" t="s">
        <v>2253</v>
      </c>
      <c r="D482" s="3">
        <v>45352.579560185193</v>
      </c>
      <c r="E482" s="2" t="s">
        <v>70</v>
      </c>
    </row>
    <row r="483" spans="1:5" ht="70" x14ac:dyDescent="0.2">
      <c r="A483" s="2" t="s">
        <v>91</v>
      </c>
      <c r="B483" s="2" t="str">
        <f>HYPERLINK("https://www.bigcountryhomepage.com/news/health-news/ap-yogurts-can-make-limited-claim-that-the-food-reduces-risk-of-type-2-diabetes-fda-says/")</f>
        <v>https://www.bigcountryhomepage.com/news/health-news/ap-yogurts-can-make-limited-claim-that-the-food-reduces-risk-of-type-2-diabetes-fda-says/</v>
      </c>
      <c r="C483" s="2" t="s">
        <v>2239</v>
      </c>
      <c r="D483" s="3">
        <v>45352.579560185193</v>
      </c>
      <c r="E483" s="2" t="s">
        <v>70</v>
      </c>
    </row>
    <row r="484" spans="1:5" ht="56" x14ac:dyDescent="0.2">
      <c r="A484" s="2" t="s">
        <v>91</v>
      </c>
      <c r="B484" s="2" t="str">
        <f>HYPERLINK("https://www.everythinglubbock.com/news/health/ap-yogurts-can-make-limited-claim-that-the-food-reduces-risk-of-type-2-diabetes-fda-says/")</f>
        <v>https://www.everythinglubbock.com/news/health/ap-yogurts-can-make-limited-claim-that-the-food-reduces-risk-of-type-2-diabetes-fda-says/</v>
      </c>
      <c r="C484" s="2" t="s">
        <v>2270</v>
      </c>
      <c r="D484" s="3">
        <v>45352.579560185193</v>
      </c>
      <c r="E484" s="2" t="s">
        <v>70</v>
      </c>
    </row>
    <row r="485" spans="1:5" ht="56" x14ac:dyDescent="0.2">
      <c r="A485" s="2" t="s">
        <v>91</v>
      </c>
      <c r="B485" s="2" t="str">
        <f>HYPERLINK("https://www.kxnet.com/news/health/ap-health/ap-yogurts-can-make-limited-claim-that-the-food-reduces-risk-of-type-2-diabetes-fda-says/")</f>
        <v>https://www.kxnet.com/news/health/ap-health/ap-yogurts-can-make-limited-claim-that-the-food-reduces-risk-of-type-2-diabetes-fda-says/</v>
      </c>
      <c r="C485" s="2" t="s">
        <v>2274</v>
      </c>
      <c r="D485" s="3">
        <v>45352.579560185193</v>
      </c>
      <c r="E485" s="2" t="s">
        <v>70</v>
      </c>
    </row>
    <row r="486" spans="1:5" ht="56" x14ac:dyDescent="0.2">
      <c r="A486" s="2" t="s">
        <v>91</v>
      </c>
      <c r="B486" s="2" t="str">
        <f>HYPERLINK("https://www.wrbl.com/news/health/ap-health/ap-yogurts-can-make-limited-claim-that-the-food-reduces-risk-of-type-2-diabetes-fda-says/")</f>
        <v>https://www.wrbl.com/news/health/ap-health/ap-yogurts-can-make-limited-claim-that-the-food-reduces-risk-of-type-2-diabetes-fda-says/</v>
      </c>
      <c r="C486" s="2" t="s">
        <v>2301</v>
      </c>
      <c r="D486" s="3">
        <v>45352.579560185193</v>
      </c>
      <c r="E486" s="2" t="s">
        <v>70</v>
      </c>
    </row>
    <row r="487" spans="1:5" ht="56" x14ac:dyDescent="0.2">
      <c r="A487" s="2" t="s">
        <v>91</v>
      </c>
      <c r="B487" s="2" t="str">
        <f>HYPERLINK("https://www.centralillinoisproud.com/news/health-news/ap-yogurts-can-make-limited-claim-that-the-food-reduces-risk-of-type-2-diabetes-fda-says/")</f>
        <v>https://www.centralillinoisproud.com/news/health-news/ap-yogurts-can-make-limited-claim-that-the-food-reduces-risk-of-type-2-diabetes-fda-says/</v>
      </c>
      <c r="C487" s="2" t="s">
        <v>2320</v>
      </c>
      <c r="D487" s="3">
        <v>45352.579560185193</v>
      </c>
      <c r="E487" s="2" t="s">
        <v>70</v>
      </c>
    </row>
    <row r="488" spans="1:5" ht="56" x14ac:dyDescent="0.2">
      <c r="A488" s="2" t="s">
        <v>91</v>
      </c>
      <c r="B488" s="2" t="str">
        <f>HYPERLINK("https://www.ketk.com/news/health/ap-yogurts-can-make-limited-claim-that-the-food-reduces-risk-of-type-2-diabetes-fda-says/")</f>
        <v>https://www.ketk.com/news/health/ap-yogurts-can-make-limited-claim-that-the-food-reduces-risk-of-type-2-diabetes-fda-says/</v>
      </c>
      <c r="C488" s="2" t="s">
        <v>2338</v>
      </c>
      <c r="D488" s="3">
        <v>45352.579560185193</v>
      </c>
      <c r="E488" s="2" t="s">
        <v>70</v>
      </c>
    </row>
    <row r="489" spans="1:5" ht="56" x14ac:dyDescent="0.2">
      <c r="A489" s="2" t="s">
        <v>91</v>
      </c>
      <c r="B489" s="2" t="str">
        <f>HYPERLINK("https://www.mytwintiers.com/news-cat/health-news/ap-yogurts-can-make-limited-claim-that-the-food-reduces-risk-of-type-2-diabetes-fda-says/")</f>
        <v>https://www.mytwintiers.com/news-cat/health-news/ap-yogurts-can-make-limited-claim-that-the-food-reduces-risk-of-type-2-diabetes-fda-says/</v>
      </c>
      <c r="C489" s="2" t="s">
        <v>2395</v>
      </c>
      <c r="D489" s="3">
        <v>45352.579560185193</v>
      </c>
      <c r="E489" s="2" t="s">
        <v>70</v>
      </c>
    </row>
    <row r="490" spans="1:5" ht="42" x14ac:dyDescent="0.2">
      <c r="A490" s="2" t="s">
        <v>91</v>
      </c>
      <c r="B490" s="2" t="str">
        <f>HYPERLINK("https://www.stamfordadvocate.com/news/article/yogurts-can-make-limited-claim-that-the-food-18698621.php")</f>
        <v>https://www.stamfordadvocate.com/news/article/yogurts-can-make-limited-claim-that-the-food-18698621.php</v>
      </c>
      <c r="C490" s="2" t="s">
        <v>2423</v>
      </c>
      <c r="D490" s="3">
        <v>45352.579560185193</v>
      </c>
      <c r="E490" s="2" t="s">
        <v>70</v>
      </c>
    </row>
    <row r="491" spans="1:5" ht="56" x14ac:dyDescent="0.2">
      <c r="A491" s="2" t="s">
        <v>91</v>
      </c>
      <c r="B491" s="2" t="str">
        <f>HYPERLINK("https://www.wowktv.com/news/u-s-world/ap-yogurts-can-make-limited-claim-that-the-food-reduces-risk-of-type-2-diabetes-fda-says/")</f>
        <v>https://www.wowktv.com/news/u-s-world/ap-yogurts-can-make-limited-claim-that-the-food-reduces-risk-of-type-2-diabetes-fda-says/</v>
      </c>
      <c r="C491" s="2" t="s">
        <v>2459</v>
      </c>
      <c r="D491" s="3">
        <v>45352.579560185193</v>
      </c>
      <c r="E491" s="2" t="s">
        <v>70</v>
      </c>
    </row>
    <row r="492" spans="1:5" ht="70" x14ac:dyDescent="0.2">
      <c r="A492" s="2" t="s">
        <v>91</v>
      </c>
      <c r="B492" s="2" t="str">
        <f>HYPERLINK("https://www.wjtv.com/living-local/focused-on-health/ap-yogurts-can-make-limited-claim-that-the-food-reduces-risk-of-type-2-diabetes-fda-says/")</f>
        <v>https://www.wjtv.com/living-local/focused-on-health/ap-yogurts-can-make-limited-claim-that-the-food-reduces-risk-of-type-2-diabetes-fda-says/</v>
      </c>
      <c r="C492" s="2" t="s">
        <v>2492</v>
      </c>
      <c r="D492" s="3">
        <v>45352.579560185193</v>
      </c>
      <c r="E492" s="2" t="s">
        <v>70</v>
      </c>
    </row>
    <row r="493" spans="1:5" ht="56" x14ac:dyDescent="0.2">
      <c r="A493" s="2" t="s">
        <v>91</v>
      </c>
      <c r="B493" s="2" t="str">
        <f>HYPERLINK("https://www.wsav.com/news/ap-health/ap-yogurts-can-make-limited-claim-that-the-food-reduces-risk-of-type-2-diabetes-fda-says/")</f>
        <v>https://www.wsav.com/news/ap-health/ap-yogurts-can-make-limited-claim-that-the-food-reduces-risk-of-type-2-diabetes-fda-says/</v>
      </c>
      <c r="C493" s="2" t="s">
        <v>2560</v>
      </c>
      <c r="D493" s="3">
        <v>45352.579560185193</v>
      </c>
      <c r="E493" s="2" t="s">
        <v>70</v>
      </c>
    </row>
    <row r="494" spans="1:5" ht="84" x14ac:dyDescent="0.2">
      <c r="A494" s="2" t="s">
        <v>91</v>
      </c>
      <c r="B494" s="2" t="str">
        <f>HYPERLINK("https://www.wdtn.com/news/health-news/ap-health/ap-yogurts-can-make-limited-claim-that-the-food-reduces-risk-of-type-2-diabetes-fda-says/")</f>
        <v>https://www.wdtn.com/news/health-news/ap-health/ap-yogurts-can-make-limited-claim-that-the-food-reduces-risk-of-type-2-diabetes-fda-says/</v>
      </c>
      <c r="C494" s="2" t="s">
        <v>2600</v>
      </c>
      <c r="D494" s="3">
        <v>45352.579560185193</v>
      </c>
      <c r="E494" s="2" t="s">
        <v>558</v>
      </c>
    </row>
    <row r="495" spans="1:5" ht="56" x14ac:dyDescent="0.2">
      <c r="A495" s="2" t="s">
        <v>91</v>
      </c>
      <c r="B495" s="2" t="str">
        <f>HYPERLINK("https://www.wivb.com/health/ap-yogurts-can-make-limited-claim-that-the-food-reduces-risk-of-type-2-diabetes-fda-says/")</f>
        <v>https://www.wivb.com/health/ap-yogurts-can-make-limited-claim-that-the-food-reduces-risk-of-type-2-diabetes-fda-says/</v>
      </c>
      <c r="C495" s="2" t="s">
        <v>2625</v>
      </c>
      <c r="D495" s="3">
        <v>45352.579560185193</v>
      </c>
      <c r="E495" s="2" t="s">
        <v>70</v>
      </c>
    </row>
    <row r="496" spans="1:5" ht="56" x14ac:dyDescent="0.2">
      <c r="A496" s="2" t="s">
        <v>91</v>
      </c>
      <c r="B496" s="2" t="str">
        <f>HYPERLINK("https://www.wboy.com/news/health/ap-yogurts-can-make-limited-claim-that-the-food-reduces-risk-of-type-2-diabetes-fda-says/")</f>
        <v>https://www.wboy.com/news/health/ap-yogurts-can-make-limited-claim-that-the-food-reduces-risk-of-type-2-diabetes-fda-says/</v>
      </c>
      <c r="C496" s="2" t="s">
        <v>2599</v>
      </c>
      <c r="D496" s="3">
        <v>45352.579560185193</v>
      </c>
      <c r="E496" s="2" t="s">
        <v>70</v>
      </c>
    </row>
    <row r="497" spans="1:5" ht="56" x14ac:dyDescent="0.2">
      <c r="A497" s="2" t="s">
        <v>91</v>
      </c>
      <c r="B497" s="2" t="str">
        <f>HYPERLINK("https://www.kget.com/health/ap-yogurts-can-make-limited-claim-that-the-food-reduces-risk-of-type-2-diabetes-fda-says/")</f>
        <v>https://www.kget.com/health/ap-yogurts-can-make-limited-claim-that-the-food-reduces-risk-of-type-2-diabetes-fda-says/</v>
      </c>
      <c r="C497" s="2" t="s">
        <v>2605</v>
      </c>
      <c r="D497" s="3">
        <v>45352.579560185193</v>
      </c>
      <c r="E497" s="2" t="s">
        <v>70</v>
      </c>
    </row>
    <row r="498" spans="1:5" ht="70" x14ac:dyDescent="0.2">
      <c r="A498" s="2" t="s">
        <v>91</v>
      </c>
      <c r="B498" s="2" t="str">
        <f>HYPERLINK("https://www.khon2.com/living-808/health-living-808/ap-health/ap-yogurts-can-make-limited-claim-that-the-food-reduces-risk-of-type-2-diabetes-fda-says/")</f>
        <v>https://www.khon2.com/living-808/health-living-808/ap-health/ap-yogurts-can-make-limited-claim-that-the-food-reduces-risk-of-type-2-diabetes-fda-says/</v>
      </c>
      <c r="C498" s="2" t="s">
        <v>2676</v>
      </c>
      <c r="D498" s="3">
        <v>45352.579560185193</v>
      </c>
      <c r="E498" s="2" t="s">
        <v>70</v>
      </c>
    </row>
    <row r="499" spans="1:5" ht="56" x14ac:dyDescent="0.2">
      <c r="A499" s="2" t="s">
        <v>91</v>
      </c>
      <c r="B499" s="2" t="str">
        <f>HYPERLINK("https://www.wtrf.com/news/health/ap-health/ap-yogurts-can-make-limited-claim-that-the-food-reduces-risk-of-type-2-diabetes-fda-says/")</f>
        <v>https://www.wtrf.com/news/health/ap-health/ap-yogurts-can-make-limited-claim-that-the-food-reduces-risk-of-type-2-diabetes-fda-says/</v>
      </c>
      <c r="C499" s="2" t="s">
        <v>2703</v>
      </c>
      <c r="D499" s="3">
        <v>45352.579560185193</v>
      </c>
      <c r="E499" s="2" t="s">
        <v>70</v>
      </c>
    </row>
    <row r="500" spans="1:5" ht="56" x14ac:dyDescent="0.2">
      <c r="A500" s="2" t="s">
        <v>91</v>
      </c>
      <c r="B500" s="2" t="str">
        <f>HYPERLINK("https://www.keloland.com/news/healthbeat/ap-health/ap-yogurts-can-make-limited-claim-that-the-food-reduces-risk-of-type-2-diabetes-fda-says/")</f>
        <v>https://www.keloland.com/news/healthbeat/ap-health/ap-yogurts-can-make-limited-claim-that-the-food-reduces-risk-of-type-2-diabetes-fda-says/</v>
      </c>
      <c r="C500" s="2" t="s">
        <v>2712</v>
      </c>
      <c r="D500" s="3">
        <v>45352.579560185193</v>
      </c>
      <c r="E500" s="2" t="s">
        <v>70</v>
      </c>
    </row>
    <row r="501" spans="1:5" ht="56" x14ac:dyDescent="0.2">
      <c r="A501" s="2" t="s">
        <v>91</v>
      </c>
      <c r="B501" s="2" t="str">
        <f>HYPERLINK("https://www.rochesterfirst.com/news/health/ap-yogurts-can-make-limited-claim-that-the-food-reduces-risk-of-type-2-diabetes-fda-says/")</f>
        <v>https://www.rochesterfirst.com/news/health/ap-yogurts-can-make-limited-claim-that-the-food-reduces-risk-of-type-2-diabetes-fda-says/</v>
      </c>
      <c r="C501" s="2" t="s">
        <v>2631</v>
      </c>
      <c r="D501" s="3">
        <v>45352.579560185193</v>
      </c>
      <c r="E501" s="2" t="s">
        <v>70</v>
      </c>
    </row>
    <row r="502" spans="1:5" ht="56" x14ac:dyDescent="0.2">
      <c r="A502" s="2" t="s">
        <v>91</v>
      </c>
      <c r="B502" s="2" t="str">
        <f>HYPERLINK("https://www.wpri.com/health/ap-health/ap-yogurts-can-make-limited-claim-that-the-food-reduces-risk-of-type-2-diabetes-fda-says/")</f>
        <v>https://www.wpri.com/health/ap-health/ap-yogurts-can-make-limited-claim-that-the-food-reduces-risk-of-type-2-diabetes-fda-says/</v>
      </c>
      <c r="C502" s="2" t="s">
        <v>2821</v>
      </c>
      <c r="D502" s="3">
        <v>45352.579560185193</v>
      </c>
      <c r="E502" s="2" t="s">
        <v>70</v>
      </c>
    </row>
    <row r="503" spans="1:5" ht="56" x14ac:dyDescent="0.2">
      <c r="A503" s="2" t="s">
        <v>91</v>
      </c>
      <c r="B503" s="2" t="str">
        <f>HYPERLINK("https://baynews9.com/fl/tampa/ap-top-news/2024/03/01/yogurts-can-make-limited-claim-that-the-food-reduces-risk-of-type-2-diabetes-fda-says")</f>
        <v>https://baynews9.com/fl/tampa/ap-top-news/2024/03/01/yogurts-can-make-limited-claim-that-the-food-reduces-risk-of-type-2-diabetes-fda-says</v>
      </c>
      <c r="C503" s="2" t="s">
        <v>2852</v>
      </c>
      <c r="D503" s="3">
        <v>45352.579560185193</v>
      </c>
      <c r="E503" s="2" t="s">
        <v>70</v>
      </c>
    </row>
    <row r="504" spans="1:5" ht="56" x14ac:dyDescent="0.2">
      <c r="A504" s="2" t="s">
        <v>91</v>
      </c>
      <c r="B504" s="2" t="str">
        <f>HYPERLINK("https://www.wtnh.com/news/health/ap-yogurts-can-make-limited-claim-that-the-food-reduces-risk-of-type-2-diabetes-fda-says/")</f>
        <v>https://www.wtnh.com/news/health/ap-yogurts-can-make-limited-claim-that-the-food-reduces-risk-of-type-2-diabetes-fda-says/</v>
      </c>
      <c r="C504" s="2" t="s">
        <v>2859</v>
      </c>
      <c r="D504" s="3">
        <v>45352.579560185193</v>
      </c>
      <c r="E504" s="2" t="s">
        <v>70</v>
      </c>
    </row>
    <row r="505" spans="1:5" ht="56" x14ac:dyDescent="0.2">
      <c r="A505" s="2" t="s">
        <v>91</v>
      </c>
      <c r="B505" s="2" t="str">
        <f>HYPERLINK("https://kfor.com/news/health/ap-health/ap-yogurts-can-make-limited-claim-that-the-food-reduces-risk-of-type-2-diabetes-fda-says/")</f>
        <v>https://kfor.com/news/health/ap-health/ap-yogurts-can-make-limited-claim-that-the-food-reduces-risk-of-type-2-diabetes-fda-says/</v>
      </c>
      <c r="C505" s="2" t="s">
        <v>2917</v>
      </c>
      <c r="D505" s="3">
        <v>45352.579560185193</v>
      </c>
      <c r="E505" s="2" t="s">
        <v>70</v>
      </c>
    </row>
    <row r="506" spans="1:5" ht="56" x14ac:dyDescent="0.2">
      <c r="A506" s="2" t="s">
        <v>91</v>
      </c>
      <c r="B506" s="2" t="str">
        <f>HYPERLINK("https://myfox8.com/news/health/ap-health/ap-yogurts-can-make-limited-claim-that-the-food-reduces-risk-of-type-2-diabetes-fda-says/")</f>
        <v>https://myfox8.com/news/health/ap-health/ap-yogurts-can-make-limited-claim-that-the-food-reduces-risk-of-type-2-diabetes-fda-says/</v>
      </c>
      <c r="C506" s="2" t="s">
        <v>2969</v>
      </c>
      <c r="D506" s="3">
        <v>45352.579560185193</v>
      </c>
      <c r="E506" s="2" t="s">
        <v>70</v>
      </c>
    </row>
    <row r="507" spans="1:5" ht="56" x14ac:dyDescent="0.2">
      <c r="A507" s="2" t="s">
        <v>91</v>
      </c>
      <c r="B507" s="2" t="str">
        <f>HYPERLINK("https://www.wavy.com/news/health/ap-yogurts-can-make-limited-claim-that-the-food-reduces-risk-of-type-2-diabetes-fda-says/")</f>
        <v>https://www.wavy.com/news/health/ap-yogurts-can-make-limited-claim-that-the-food-reduces-risk-of-type-2-diabetes-fda-says/</v>
      </c>
      <c r="C507" s="2" t="s">
        <v>2979</v>
      </c>
      <c r="D507" s="3">
        <v>45352.579560185193</v>
      </c>
      <c r="E507" s="2" t="s">
        <v>70</v>
      </c>
    </row>
    <row r="508" spans="1:5" ht="42" x14ac:dyDescent="0.2">
      <c r="A508" s="2" t="s">
        <v>91</v>
      </c>
      <c r="B508" s="2" t="str">
        <f>HYPERLINK("https://www.ctinsider.com/news/article/yogurts-can-make-limited-claim-that-the-food-18698621.php")</f>
        <v>https://www.ctinsider.com/news/article/yogurts-can-make-limited-claim-that-the-food-18698621.php</v>
      </c>
      <c r="C508" s="2" t="s">
        <v>2986</v>
      </c>
      <c r="D508" s="3">
        <v>45352.579560185193</v>
      </c>
      <c r="E508" s="2" t="s">
        <v>70</v>
      </c>
    </row>
    <row r="509" spans="1:5" ht="56" x14ac:dyDescent="0.2">
      <c r="A509" s="2" t="s">
        <v>91</v>
      </c>
      <c r="B509" s="2" t="str">
        <f>HYPERLINK("https://www.abc27.com/news/health/ap-health/ap-yogurts-can-make-limited-claim-that-the-food-reduces-risk-of-type-2-diabetes-fda-says/")</f>
        <v>https://www.abc27.com/news/health/ap-health/ap-yogurts-can-make-limited-claim-that-the-food-reduces-risk-of-type-2-diabetes-fda-says/</v>
      </c>
      <c r="C509" s="2" t="s">
        <v>2935</v>
      </c>
      <c r="D509" s="3">
        <v>45352.579560185193</v>
      </c>
      <c r="E509" s="2" t="s">
        <v>70</v>
      </c>
    </row>
    <row r="510" spans="1:5" ht="56" x14ac:dyDescent="0.2">
      <c r="A510" s="2" t="s">
        <v>91</v>
      </c>
      <c r="B510" s="2" t="str">
        <f>HYPERLINK("https://www.koin.com/news/health/ap-health/ap-yogurts-can-make-limited-claim-that-the-food-reduces-risk-of-type-2-diabetes-fda-says/")</f>
        <v>https://www.koin.com/news/health/ap-health/ap-yogurts-can-make-limited-claim-that-the-food-reduces-risk-of-type-2-diabetes-fda-says/</v>
      </c>
      <c r="C510" s="2" t="s">
        <v>3015</v>
      </c>
      <c r="D510" s="3">
        <v>45352.579560185193</v>
      </c>
      <c r="E510" s="2" t="s">
        <v>70</v>
      </c>
    </row>
    <row r="511" spans="1:5" ht="42" x14ac:dyDescent="0.2">
      <c r="A511" s="2" t="s">
        <v>91</v>
      </c>
      <c r="B511" s="2" t="str">
        <f>HYPERLINK("https://www.houstonchronicle.com/news/article/yogurts-can-make-limited-claim-that-the-food-18698621.php")</f>
        <v>https://www.houstonchronicle.com/news/article/yogurts-can-make-limited-claim-that-the-food-18698621.php</v>
      </c>
      <c r="C511" s="2" t="s">
        <v>3145</v>
      </c>
      <c r="D511" s="3">
        <v>45352.579560185193</v>
      </c>
      <c r="E511" s="2" t="s">
        <v>70</v>
      </c>
    </row>
    <row r="512" spans="1:5" ht="140" x14ac:dyDescent="0.2">
      <c r="A512" s="2" t="s">
        <v>91</v>
      </c>
      <c r="B512" s="2" t="str">
        <f>HYPERLINK("https://www.chron.com/news/article/yogurts-can-make-limited-claim-that-the-food-18698621.php")</f>
        <v>https://www.chron.com/news/article/yogurts-can-make-limited-claim-that-the-food-18698621.php</v>
      </c>
      <c r="C512" s="2" t="s">
        <v>3321</v>
      </c>
      <c r="D512" s="3">
        <v>45352.579560185193</v>
      </c>
      <c r="E512" s="2" t="s">
        <v>3322</v>
      </c>
    </row>
    <row r="513" spans="1:5" ht="56" x14ac:dyDescent="0.2">
      <c r="A513" s="2" t="s">
        <v>91</v>
      </c>
      <c r="B513" s="2" t="str">
        <f>HYPERLINK("https://fox8.com/news/health/ap-health/ap-yogurts-can-make-limited-claim-that-the-food-reduces-risk-of-type-2-diabetes-fda-says/")</f>
        <v>https://fox8.com/news/health/ap-health/ap-yogurts-can-make-limited-claim-that-the-food-reduces-risk-of-type-2-diabetes-fda-says/</v>
      </c>
      <c r="C513" s="2" t="s">
        <v>3339</v>
      </c>
      <c r="D513" s="3">
        <v>45352.579560185193</v>
      </c>
      <c r="E513" s="2" t="s">
        <v>70</v>
      </c>
    </row>
    <row r="514" spans="1:5" ht="70" x14ac:dyDescent="0.2">
      <c r="A514" s="2" t="s">
        <v>91</v>
      </c>
      <c r="B514" s="2" t="str">
        <f>HYPERLINK("https://www.newsnationnow.com/health/health-headlines/ap-yogurts-can-make-limited-claim-that-the-food-reduces-risk-of-type-2-diabetes-fda-says/")</f>
        <v>https://www.newsnationnow.com/health/health-headlines/ap-yogurts-can-make-limited-claim-that-the-food-reduces-risk-of-type-2-diabetes-fda-says/</v>
      </c>
      <c r="C514" s="2" t="s">
        <v>3377</v>
      </c>
      <c r="D514" s="3">
        <v>45352.579560185193</v>
      </c>
      <c r="E514" s="2" t="s">
        <v>70</v>
      </c>
    </row>
    <row r="515" spans="1:5" ht="42" x14ac:dyDescent="0.2">
      <c r="A515" s="2" t="s">
        <v>91</v>
      </c>
      <c r="B515" s="2" t="str">
        <f>HYPERLINK("https://apnews.com/article/yogurt-diabetes-fda-type-2-06f67fbea87fcb7b35176520f50acbc8")</f>
        <v>https://apnews.com/article/yogurt-diabetes-fda-type-2-06f67fbea87fcb7b35176520f50acbc8</v>
      </c>
      <c r="C515" s="2" t="s">
        <v>3644</v>
      </c>
      <c r="D515" s="3">
        <v>45352.579560185193</v>
      </c>
      <c r="E515" s="2" t="s">
        <v>70</v>
      </c>
    </row>
    <row r="516" spans="1:5" ht="56" x14ac:dyDescent="0.2">
      <c r="A516" s="2" t="s">
        <v>91</v>
      </c>
      <c r="B516" s="2" t="str">
        <f>HYPERLINK("https://www.whio.com/news/health/yogurts-can-make/VBOFMCIN6JJDMR3CH5LGEYZQCA/")</f>
        <v>https://www.whio.com/news/health/yogurts-can-make/VBOFMCIN6JJDMR3CH5LGEYZQCA/</v>
      </c>
      <c r="C516" s="2" t="s">
        <v>2796</v>
      </c>
      <c r="D516" s="3">
        <v>45352.579907407409</v>
      </c>
      <c r="E516" s="2" t="s">
        <v>549</v>
      </c>
    </row>
    <row r="517" spans="1:5" ht="84" x14ac:dyDescent="0.2">
      <c r="A517" s="2" t="s">
        <v>91</v>
      </c>
      <c r="B517" s="2" t="str">
        <f>HYPERLINK("https://www.ajc.com/news/nation-world/yogurts-can-make-limited-claim-that-the-food-reduces-risk-of-type-2-diabetes-fda-says/VS5XXLRBQNFO5NOBM4NELK3QIM/")</f>
        <v>https://www.ajc.com/news/nation-world/yogurts-can-make-limited-claim-that-the-food-reduces-risk-of-type-2-diabetes-fda-says/VS5XXLRBQNFO5NOBM4NELK3QIM/</v>
      </c>
      <c r="C517" s="2" t="s">
        <v>3244</v>
      </c>
      <c r="D517" s="3">
        <v>45352.580428240741</v>
      </c>
      <c r="E517" s="2" t="s">
        <v>70</v>
      </c>
    </row>
    <row r="518" spans="1:5" ht="84" x14ac:dyDescent="0.2">
      <c r="A518" s="2" t="s">
        <v>91</v>
      </c>
      <c r="B518" s="2" t="str">
        <f>HYPERLINK("https://www.springfieldnewssun.com/nation-world/yogurts-can-make-limited-claim-that-the-food-reduces-risk-of-type-2-diabetes-fda-says/N5YFG4V7PZGGDNCW6OPKLCAZAE/")</f>
        <v>https://www.springfieldnewssun.com/nation-world/yogurts-can-make-limited-claim-that-the-food-reduces-risk-of-type-2-diabetes-fda-says/N5YFG4V7PZGGDNCW6OPKLCAZAE/</v>
      </c>
      <c r="C518" s="2" t="s">
        <v>1950</v>
      </c>
      <c r="D518" s="3">
        <v>45352.580474537041</v>
      </c>
      <c r="E518" s="2" t="s">
        <v>70</v>
      </c>
    </row>
    <row r="519" spans="1:5" ht="84" x14ac:dyDescent="0.2">
      <c r="A519" s="2" t="s">
        <v>91</v>
      </c>
      <c r="B519" s="2" t="str">
        <f>HYPERLINK("https://www.journal-news.com/nation-world/yogurts-can-make-limited-claim-that-the-food-reduces-risk-of-type-2-diabetes-fda-says/N5YFG4V7PZGGDNCW6OPKLCAZAE/")</f>
        <v>https://www.journal-news.com/nation-world/yogurts-can-make-limited-claim-that-the-food-reduces-risk-of-type-2-diabetes-fda-says/N5YFG4V7PZGGDNCW6OPKLCAZAE/</v>
      </c>
      <c r="C519" s="2" t="s">
        <v>2101</v>
      </c>
      <c r="D519" s="3">
        <v>45352.580474537041</v>
      </c>
      <c r="E519" s="2" t="s">
        <v>70</v>
      </c>
    </row>
    <row r="520" spans="1:5" ht="84" x14ac:dyDescent="0.2">
      <c r="A520" s="2" t="s">
        <v>91</v>
      </c>
      <c r="B520" s="2" t="str">
        <f>HYPERLINK("https://www.daytondailynews.com/nation-world/yogurts-can-make-limited-claim-that-the-food-reduces-risk-of-type-2-diabetes-fda-says/N5YFG4V7PZGGDNCW6OPKLCAZAE/")</f>
        <v>https://www.daytondailynews.com/nation-world/yogurts-can-make-limited-claim-that-the-food-reduces-risk-of-type-2-diabetes-fda-says/N5YFG4V7PZGGDNCW6OPKLCAZAE/</v>
      </c>
      <c r="C520" s="2" t="s">
        <v>2726</v>
      </c>
      <c r="D520" s="3">
        <v>45352.580474537041</v>
      </c>
      <c r="E520" s="2" t="s">
        <v>70</v>
      </c>
    </row>
    <row r="521" spans="1:5" ht="56" x14ac:dyDescent="0.2">
      <c r="A521" s="2" t="s">
        <v>91</v>
      </c>
      <c r="B521" s="2" t="str">
        <f>HYPERLINK("https://www.airdriecityview.com/lifestyle/yogurts-can-make-limited-claim-that-the-food-reduces-risk-of-type-2-diabetes-fda-says-8383728")</f>
        <v>https://www.airdriecityview.com/lifestyle/yogurts-can-make-limited-claim-that-the-food-reduces-risk-of-type-2-diabetes-fda-says-8383728</v>
      </c>
      <c r="C521" s="2" t="s">
        <v>92</v>
      </c>
      <c r="D521" s="3">
        <v>45352.580694444441</v>
      </c>
      <c r="E521" s="2" t="s">
        <v>70</v>
      </c>
    </row>
    <row r="522" spans="1:5" ht="56" x14ac:dyDescent="0.2">
      <c r="A522" s="2" t="s">
        <v>91</v>
      </c>
      <c r="B522" s="2" t="str">
        <f>HYPERLINK("https://www.empireadvance.ca/the-mix/yogurts-can-make-limited-claim-that-the-food-reduces-risk-of-type-2-diabetes-fda-says-8383577")</f>
        <v>https://www.empireadvance.ca/the-mix/yogurts-can-make-limited-claim-that-the-food-reduces-risk-of-type-2-diabetes-fda-says-8383577</v>
      </c>
      <c r="C522" s="2" t="s">
        <v>622</v>
      </c>
      <c r="D522" s="3">
        <v>45352.580694444441</v>
      </c>
      <c r="E522" s="2" t="s">
        <v>70</v>
      </c>
    </row>
    <row r="523" spans="1:5" ht="56" x14ac:dyDescent="0.2">
      <c r="A523" s="2" t="s">
        <v>91</v>
      </c>
      <c r="B523" s="2" t="str">
        <f>HYPERLINK("https://www.empireadvance.ca/health/yogurts-can-make-limited-claim-that-the-food-reduces-risk-of-type-2-diabetes-fda-says-8383595")</f>
        <v>https://www.empireadvance.ca/health/yogurts-can-make-limited-claim-that-the-food-reduces-risk-of-type-2-diabetes-fda-says-8383595</v>
      </c>
      <c r="C523" s="2" t="s">
        <v>622</v>
      </c>
      <c r="D523" s="3">
        <v>45352.580694444441</v>
      </c>
      <c r="E523" s="2" t="s">
        <v>70</v>
      </c>
    </row>
    <row r="524" spans="1:5" ht="56" x14ac:dyDescent="0.2">
      <c r="A524" s="2" t="s">
        <v>91</v>
      </c>
      <c r="B524" s="2" t="str">
        <f>HYPERLINK("https://www.mountainviewtoday.ca/health/yogurts-can-make-limited-claim-that-the-food-reduces-risk-of-type-2-diabetes-fda-says-8383595")</f>
        <v>https://www.mountainviewtoday.ca/health/yogurts-can-make-limited-claim-that-the-food-reduces-risk-of-type-2-diabetes-fda-says-8383595</v>
      </c>
      <c r="C524" s="2" t="s">
        <v>855</v>
      </c>
      <c r="D524" s="3">
        <v>45352.580694444441</v>
      </c>
      <c r="E524" s="2" t="s">
        <v>70</v>
      </c>
    </row>
    <row r="525" spans="1:5" ht="56" x14ac:dyDescent="0.2">
      <c r="A525" s="2" t="s">
        <v>91</v>
      </c>
      <c r="B525" s="2" t="str">
        <f>HYPERLINK("https://www.thereminder.ca/the-mix/yogurts-can-make-limited-claim-that-the-food-reduces-risk-of-type-2-diabetes-fda-says-8383577")</f>
        <v>https://www.thereminder.ca/the-mix/yogurts-can-make-limited-claim-that-the-food-reduces-risk-of-type-2-diabetes-fda-says-8383577</v>
      </c>
      <c r="C525" s="2" t="s">
        <v>947</v>
      </c>
      <c r="D525" s="3">
        <v>45352.580694444441</v>
      </c>
      <c r="E525" s="2" t="s">
        <v>70</v>
      </c>
    </row>
    <row r="526" spans="1:5" ht="56" x14ac:dyDescent="0.2">
      <c r="A526" s="2" t="s">
        <v>91</v>
      </c>
      <c r="B526" s="2" t="str">
        <f>HYPERLINK("https://www.thompsoncitizen.net/the-mix/yogurts-can-make-limited-claim-that-the-food-reduces-risk-of-type-2-diabetes-fda-says-8383577")</f>
        <v>https://www.thompsoncitizen.net/the-mix/yogurts-can-make-limited-claim-that-the-food-reduces-risk-of-type-2-diabetes-fda-says-8383577</v>
      </c>
      <c r="C526" s="2" t="s">
        <v>1129</v>
      </c>
      <c r="D526" s="3">
        <v>45352.580694444441</v>
      </c>
      <c r="E526" s="2" t="s">
        <v>70</v>
      </c>
    </row>
    <row r="527" spans="1:5" ht="56" x14ac:dyDescent="0.2">
      <c r="A527" s="2" t="s">
        <v>91</v>
      </c>
      <c r="B527" s="2" t="str">
        <f>HYPERLINK("https://www.prpeak.com/the-mix/yogurts-can-make-limited-claim-that-the-food-reduces-risk-of-type-2-diabetes-fda-says-8383577")</f>
        <v>https://www.prpeak.com/the-mix/yogurts-can-make-limited-claim-that-the-food-reduces-risk-of-type-2-diabetes-fda-says-8383577</v>
      </c>
      <c r="C527" s="2" t="s">
        <v>1469</v>
      </c>
      <c r="D527" s="3">
        <v>45352.580694444441</v>
      </c>
      <c r="E527" s="2" t="s">
        <v>70</v>
      </c>
    </row>
    <row r="528" spans="1:5" ht="56" x14ac:dyDescent="0.2">
      <c r="A528" s="2" t="s">
        <v>91</v>
      </c>
      <c r="B528" s="2" t="str">
        <f>HYPERLINK("https://www.bowenislandundercurrent.com/health/yogurts-can-make-limited-claim-that-the-food-reduces-risk-of-type-2-diabetes-fda-says-8383595")</f>
        <v>https://www.bowenislandundercurrent.com/health/yogurts-can-make-limited-claim-that-the-food-reduces-risk-of-type-2-diabetes-fda-says-8383595</v>
      </c>
      <c r="C528" s="2" t="s">
        <v>1458</v>
      </c>
      <c r="D528" s="3">
        <v>45352.580694444441</v>
      </c>
      <c r="E528" s="2" t="s">
        <v>70</v>
      </c>
    </row>
    <row r="529" spans="1:5" ht="56" x14ac:dyDescent="0.2">
      <c r="A529" s="2" t="s">
        <v>91</v>
      </c>
      <c r="B529" s="2" t="str">
        <f>HYPERLINK("https://www.fitzhugh.ca/national-lifestyle/yogurts-can-make-limited-claim-that-the-food-reduces-risk-of-type-2-diabetes-fda-says-8383728")</f>
        <v>https://www.fitzhugh.ca/national-lifestyle/yogurts-can-make-limited-claim-that-the-food-reduces-risk-of-type-2-diabetes-fda-says-8383728</v>
      </c>
      <c r="C529" s="2" t="s">
        <v>1537</v>
      </c>
      <c r="D529" s="3">
        <v>45352.580694444441</v>
      </c>
      <c r="E529" s="2" t="s">
        <v>70</v>
      </c>
    </row>
    <row r="530" spans="1:5" ht="56" x14ac:dyDescent="0.2">
      <c r="A530" s="2" t="s">
        <v>91</v>
      </c>
      <c r="B530" s="2" t="str">
        <f>HYPERLINK("https://www.townandcountrytoday.com/health/yogurts-can-make-limited-claim-that-the-food-reduces-risk-of-type-2-diabetes-fda-says-8383595")</f>
        <v>https://www.townandcountrytoday.com/health/yogurts-can-make-limited-claim-that-the-food-reduces-risk-of-type-2-diabetes-fda-says-8383595</v>
      </c>
      <c r="C530" s="2" t="s">
        <v>1494</v>
      </c>
      <c r="D530" s="3">
        <v>45352.580694444441</v>
      </c>
      <c r="E530" s="2" t="s">
        <v>70</v>
      </c>
    </row>
    <row r="531" spans="1:5" ht="56" x14ac:dyDescent="0.2">
      <c r="A531" s="2" t="s">
        <v>91</v>
      </c>
      <c r="B531" s="2" t="str">
        <f>HYPERLINK("https://www.lakelandtoday.ca/health/yogurts-can-make-limited-claim-that-the-food-reduces-risk-of-type-2-diabetes-fda-says-8383595")</f>
        <v>https://www.lakelandtoday.ca/health/yogurts-can-make-limited-claim-that-the-food-reduces-risk-of-type-2-diabetes-fda-says-8383595</v>
      </c>
      <c r="C531" s="2" t="s">
        <v>1692</v>
      </c>
      <c r="D531" s="3">
        <v>45352.580694444441</v>
      </c>
      <c r="E531" s="2" t="s">
        <v>70</v>
      </c>
    </row>
    <row r="532" spans="1:5" ht="56" x14ac:dyDescent="0.2">
      <c r="A532" s="2" t="s">
        <v>91</v>
      </c>
      <c r="B532" s="2" t="str">
        <f>HYPERLINK("https://www.coastreporter.net/health/yogurts-can-make-limited-claim-that-the-food-reduces-risk-of-type-2-diabetes-fda-says-8383595")</f>
        <v>https://www.coastreporter.net/health/yogurts-can-make-limited-claim-that-the-food-reduces-risk-of-type-2-diabetes-fda-says-8383595</v>
      </c>
      <c r="C532" s="2" t="s">
        <v>1997</v>
      </c>
      <c r="D532" s="3">
        <v>45352.580694444441</v>
      </c>
      <c r="E532" s="2" t="s">
        <v>70</v>
      </c>
    </row>
    <row r="533" spans="1:5" ht="56" x14ac:dyDescent="0.2">
      <c r="A533" s="2" t="s">
        <v>91</v>
      </c>
      <c r="B533" s="2" t="str">
        <f>HYPERLINK("https://www.stalbertgazette.com/lifestyle-news/yogurts-can-make-limited-claim-that-the-food-reduces-risk-of-type-2-diabetes-fda-says-8383728")</f>
        <v>https://www.stalbertgazette.com/lifestyle-news/yogurts-can-make-limited-claim-that-the-food-reduces-risk-of-type-2-diabetes-fda-says-8383728</v>
      </c>
      <c r="C533" s="2" t="s">
        <v>2056</v>
      </c>
      <c r="D533" s="3">
        <v>45352.580694444441</v>
      </c>
      <c r="E533" s="2" t="s">
        <v>70</v>
      </c>
    </row>
    <row r="534" spans="1:5" ht="56" x14ac:dyDescent="0.2">
      <c r="A534" s="2" t="s">
        <v>91</v>
      </c>
      <c r="B534" s="2" t="str">
        <f>HYPERLINK("https://www.westernwheel.ca/health/yogurts-can-make-limited-claim-that-the-food-reduces-risk-of-type-2-diabetes-fda-says-8383595")</f>
        <v>https://www.westernwheel.ca/health/yogurts-can-make-limited-claim-that-the-food-reduces-risk-of-type-2-diabetes-fda-says-8383595</v>
      </c>
      <c r="C534" s="2" t="s">
        <v>2123</v>
      </c>
      <c r="D534" s="3">
        <v>45352.580694444441</v>
      </c>
      <c r="E534" s="2" t="s">
        <v>70</v>
      </c>
    </row>
    <row r="535" spans="1:5" ht="56" x14ac:dyDescent="0.2">
      <c r="A535" s="2" t="s">
        <v>91</v>
      </c>
      <c r="B535" s="2" t="str">
        <f>HYPERLINK("https://www.rmoutlook.com/lifestyle/yogurts-can-make-limited-claim-that-the-food-reduces-risk-of-type-2-diabetes-fda-says-8383728")</f>
        <v>https://www.rmoutlook.com/lifestyle/yogurts-can-make-limited-claim-that-the-food-reduces-risk-of-type-2-diabetes-fda-says-8383728</v>
      </c>
      <c r="C535" s="2" t="s">
        <v>2257</v>
      </c>
      <c r="D535" s="3">
        <v>45352.580694444441</v>
      </c>
      <c r="E535" s="2" t="s">
        <v>549</v>
      </c>
    </row>
    <row r="536" spans="1:5" ht="56" x14ac:dyDescent="0.2">
      <c r="A536" s="2" t="s">
        <v>91</v>
      </c>
      <c r="B536" s="2" t="str">
        <f>HYPERLINK("https://www.cochraneeagle.ca/health/yogurts-can-make-limited-claim-that-the-food-reduces-risk-of-type-2-diabetes-fda-says-8383595")</f>
        <v>https://www.cochraneeagle.ca/health/yogurts-can-make-limited-claim-that-the-food-reduces-risk-of-type-2-diabetes-fda-says-8383595</v>
      </c>
      <c r="C536" s="2" t="s">
        <v>3895</v>
      </c>
      <c r="D536" s="3">
        <v>45352.580694444441</v>
      </c>
      <c r="E536" s="2" t="s">
        <v>70</v>
      </c>
    </row>
    <row r="537" spans="1:5" ht="84" x14ac:dyDescent="0.2">
      <c r="A537" s="2" t="s">
        <v>91</v>
      </c>
      <c r="B537" s="2" t="str">
        <f>HYPERLINK("https://infotel.ca/newsitem/us-med-yogurt-diabetes/cp960626889")</f>
        <v>https://infotel.ca/newsitem/us-med-yogurt-diabetes/cp960626889</v>
      </c>
      <c r="C537" s="2" t="s">
        <v>2434</v>
      </c>
      <c r="D537" s="3">
        <v>45352.580717592587</v>
      </c>
      <c r="E537" s="2" t="s">
        <v>828</v>
      </c>
    </row>
    <row r="538" spans="1:5" ht="70" x14ac:dyDescent="0.2">
      <c r="A538" s="2" t="s">
        <v>91</v>
      </c>
      <c r="B538" s="2" t="str">
        <f>HYPERLINK("https://www.sandiegouniontribune.com/news/nation-world/story/2024-03-01/yogurts-can-make-limited-claim-that-the-food-reduces-risk-of-type-2-diabetes-fda-says")</f>
        <v>https://www.sandiegouniontribune.com/news/nation-world/story/2024-03-01/yogurts-can-make-limited-claim-that-the-food-reduces-risk-of-type-2-diabetes-fda-says</v>
      </c>
      <c r="C538" s="2" t="s">
        <v>3124</v>
      </c>
      <c r="D538" s="3">
        <v>45352.581342592603</v>
      </c>
      <c r="E538" s="2" t="s">
        <v>70</v>
      </c>
    </row>
    <row r="539" spans="1:5" ht="56" x14ac:dyDescent="0.2">
      <c r="A539" s="2" t="s">
        <v>91</v>
      </c>
      <c r="B539" s="2" t="str">
        <f>HYPERLINK("https://wtop.com/national/2024/03/yogurts-can-make-limited-claim-that-the-food-reduces-risk-of-type-2-diabetes-fda-says/")</f>
        <v>https://wtop.com/national/2024/03/yogurts-can-make-limited-claim-that-the-food-reduces-risk-of-type-2-diabetes-fda-says/</v>
      </c>
      <c r="C539" s="2" t="s">
        <v>3076</v>
      </c>
      <c r="D539" s="3">
        <v>45352.581747685188</v>
      </c>
      <c r="E539" s="2" t="s">
        <v>70</v>
      </c>
    </row>
    <row r="540" spans="1:5" ht="56" x14ac:dyDescent="0.2">
      <c r="A540" s="2" t="s">
        <v>91</v>
      </c>
      <c r="B540" s="2" t="str">
        <f>HYPERLINK("https://www.wbal.com/yogurts-can-make-limited-claim-that-the-food-reduces-risk-of-type-2-diabetes-fda-says/")</f>
        <v>https://www.wbal.com/yogurts-can-make-limited-claim-that-the-food-reduces-risk-of-type-2-diabetes-fda-says/</v>
      </c>
      <c r="C540" s="2" t="s">
        <v>2381</v>
      </c>
      <c r="D540" s="3">
        <v>45352.582152777781</v>
      </c>
      <c r="E540" s="2" t="s">
        <v>70</v>
      </c>
    </row>
    <row r="541" spans="1:5" ht="70" x14ac:dyDescent="0.2">
      <c r="A541" s="2" t="s">
        <v>91</v>
      </c>
      <c r="B541" s="2" t="str">
        <f>HYPERLINK("https://www.sfgate.com/news/article/yogurts-can-make-limited-claim-that-the-food-18698621.php")</f>
        <v>https://www.sfgate.com/news/article/yogurts-can-make-limited-claim-that-the-food-18698621.php</v>
      </c>
      <c r="C541" s="2" t="s">
        <v>3492</v>
      </c>
      <c r="D541" s="3">
        <v>45352.582175925927</v>
      </c>
      <c r="E541" s="2" t="s">
        <v>1703</v>
      </c>
    </row>
    <row r="542" spans="1:5" ht="56" x14ac:dyDescent="0.2">
      <c r="A542" s="2" t="s">
        <v>91</v>
      </c>
      <c r="B542" s="2" t="str">
        <f>HYPERLINK("https://www.actionnewsjax.com/news/health/yogurts-can-make/VBOFMCIN6JJDMR3CH5LGEYZQCA/")</f>
        <v>https://www.actionnewsjax.com/news/health/yogurts-can-make/VBOFMCIN6JJDMR3CH5LGEYZQCA/</v>
      </c>
      <c r="C542" s="2" t="s">
        <v>2656</v>
      </c>
      <c r="D542" s="3">
        <v>45352.582858796297</v>
      </c>
      <c r="E542" s="2" t="s">
        <v>70</v>
      </c>
    </row>
    <row r="543" spans="1:5" ht="84" x14ac:dyDescent="0.2">
      <c r="A543" s="2" t="s">
        <v>3685</v>
      </c>
      <c r="B543" s="2" t="str">
        <f>HYPERLINK("https://www.dailymail.co.uk/wires/ap/article-13146875/Yogurts-make-limited-claim-food-reduces-risk-type-2-diabetes-FDA-says.html")</f>
        <v>https://www.dailymail.co.uk/wires/ap/article-13146875/Yogurts-make-limited-claim-food-reduces-risk-type-2-diabetes-FDA-says.html</v>
      </c>
      <c r="C543" s="2" t="s">
        <v>3655</v>
      </c>
      <c r="D543" s="3">
        <v>45352.582881944443</v>
      </c>
      <c r="E543" s="2" t="s">
        <v>1237</v>
      </c>
    </row>
    <row r="544" spans="1:5" ht="56" x14ac:dyDescent="0.2">
      <c r="A544" s="2" t="s">
        <v>91</v>
      </c>
      <c r="B544" s="2" t="str">
        <f>HYPERLINK("https://www.local10.com/health/2024/03/01/yogurts-can-make-limited-claim-that-the-food-reduces-risk-of-type-2-diabetes-fda-says/")</f>
        <v>https://www.local10.com/health/2024/03/01/yogurts-can-make-limited-claim-that-the-food-reduces-risk-of-type-2-diabetes-fda-says/</v>
      </c>
      <c r="C544" s="2" t="s">
        <v>2995</v>
      </c>
      <c r="D544" s="3">
        <v>45352.583587962959</v>
      </c>
      <c r="E544" s="2" t="s">
        <v>70</v>
      </c>
    </row>
    <row r="545" spans="1:5" ht="56" x14ac:dyDescent="0.2">
      <c r="A545" s="2" t="s">
        <v>91</v>
      </c>
      <c r="B545" s="2" t="str">
        <f>HYPERLINK("https://www.wsbradio.com/news/health/yogurts-can-make/VBOFMCIN6JJDMR3CH5LGEYZQCA/")</f>
        <v>https://www.wsbradio.com/news/health/yogurts-can-make/VBOFMCIN6JJDMR3CH5LGEYZQCA/</v>
      </c>
      <c r="C545" s="2" t="s">
        <v>2353</v>
      </c>
      <c r="D545" s="3">
        <v>45352.583657407413</v>
      </c>
      <c r="E545" s="2" t="s">
        <v>70</v>
      </c>
    </row>
    <row r="546" spans="1:5" ht="56" x14ac:dyDescent="0.2">
      <c r="A546" s="2" t="s">
        <v>91</v>
      </c>
      <c r="B546" s="2" t="str">
        <f>HYPERLINK("https://www.wsls.com/health/2024/03/01/yogurts-can-make-limited-claim-that-the-food-reduces-risk-of-type-2-diabetes-fda-says/")</f>
        <v>https://www.wsls.com/health/2024/03/01/yogurts-can-make-limited-claim-that-the-food-reduces-risk-of-type-2-diabetes-fda-says/</v>
      </c>
      <c r="C546" s="2" t="s">
        <v>2598</v>
      </c>
      <c r="D546" s="3">
        <v>45352.58390046296</v>
      </c>
      <c r="E546" s="2" t="s">
        <v>70</v>
      </c>
    </row>
    <row r="547" spans="1:5" ht="56" x14ac:dyDescent="0.2">
      <c r="A547" s="2" t="s">
        <v>91</v>
      </c>
      <c r="B547" s="2" t="str">
        <f>HYPERLINK("https://www.click2houston.com/health/2024/03/01/yogurts-can-make-limited-claim-that-the-food-reduces-risk-of-type-2-diabetes-fda-says/")</f>
        <v>https://www.click2houston.com/health/2024/03/01/yogurts-can-make-limited-claim-that-the-food-reduces-risk-of-type-2-diabetes-fda-says/</v>
      </c>
      <c r="C547" s="2" t="s">
        <v>3108</v>
      </c>
      <c r="D547" s="3">
        <v>45352.584490740737</v>
      </c>
      <c r="E547" s="2" t="s">
        <v>70</v>
      </c>
    </row>
    <row r="548" spans="1:5" ht="56" x14ac:dyDescent="0.2">
      <c r="A548" s="2" t="s">
        <v>91</v>
      </c>
      <c r="B548" s="2" t="str">
        <f>HYPERLINK("https://www.news4jax.com/health/2024/03/01/yogurts-can-make-limited-claim-that-the-food-reduces-risk-of-type-2-diabetes-fda-says/")</f>
        <v>https://www.news4jax.com/health/2024/03/01/yogurts-can-make-limited-claim-that-the-food-reduces-risk-of-type-2-diabetes-fda-says/</v>
      </c>
      <c r="C548" s="2" t="s">
        <v>2994</v>
      </c>
      <c r="D548" s="3">
        <v>45352.584745370368</v>
      </c>
      <c r="E548" s="2" t="s">
        <v>70</v>
      </c>
    </row>
    <row r="549" spans="1:5" ht="56" x14ac:dyDescent="0.2">
      <c r="A549" s="2" t="s">
        <v>91</v>
      </c>
      <c r="B549" s="2" t="str">
        <f>HYPERLINK("https://www.wdbo.com/news/health/yogurts-can-make/VBOFMCIN6JJDMR3CH5LGEYZQCA/")</f>
        <v>https://www.wdbo.com/news/health/yogurts-can-make/VBOFMCIN6JJDMR3CH5LGEYZQCA/</v>
      </c>
      <c r="C549" s="2" t="s">
        <v>1118</v>
      </c>
      <c r="D549" s="3">
        <v>45352.585092592592</v>
      </c>
      <c r="E549" s="2" t="s">
        <v>70</v>
      </c>
    </row>
    <row r="550" spans="1:5" ht="56" x14ac:dyDescent="0.2">
      <c r="A550" s="2" t="s">
        <v>91</v>
      </c>
      <c r="B550" s="2" t="str">
        <f>HYPERLINK("https://www.whec.com/health/yogurts-can-make-limited-claim-that-the-food-reduces-risk-of-type-2-diabetes-fda-says/")</f>
        <v>https://www.whec.com/health/yogurts-can-make-limited-claim-that-the-food-reduces-risk-of-type-2-diabetes-fda-says/</v>
      </c>
      <c r="C550" s="2" t="s">
        <v>2624</v>
      </c>
      <c r="D550" s="3">
        <v>45352.585115740738</v>
      </c>
      <c r="E550" s="2" t="s">
        <v>70</v>
      </c>
    </row>
    <row r="551" spans="1:5" ht="84" x14ac:dyDescent="0.2">
      <c r="A551" s="2" t="s">
        <v>91</v>
      </c>
      <c r="B551" s="2" t="str">
        <f>HYPERLINK("https://www.kaaltv.com/news/health-science/yogurts-can-make-limited-claim-that-the-food-reduces-risk-of-type-2-diabetes-fda-says/")</f>
        <v>https://www.kaaltv.com/news/health-science/yogurts-can-make-limited-claim-that-the-food-reduces-risk-of-type-2-diabetes-fda-says/</v>
      </c>
      <c r="C551" s="2" t="s">
        <v>2388</v>
      </c>
      <c r="D551" s="3">
        <v>45352.585138888891</v>
      </c>
      <c r="E551" s="2" t="s">
        <v>558</v>
      </c>
    </row>
    <row r="552" spans="1:5" ht="56" x14ac:dyDescent="0.2">
      <c r="A552" s="2" t="s">
        <v>91</v>
      </c>
      <c r="B552" s="2" t="str">
        <f>HYPERLINK("https://www.ksat.com/health/2024/03/01/yogurts-can-make-limited-claim-that-the-food-reduces-risk-of-type-2-diabetes-fda-says/")</f>
        <v>https://www.ksat.com/health/2024/03/01/yogurts-can-make-limited-claim-that-the-food-reduces-risk-of-type-2-diabetes-fda-says/</v>
      </c>
      <c r="C552" s="2" t="s">
        <v>3020</v>
      </c>
      <c r="D552" s="3">
        <v>45352.585312499999</v>
      </c>
      <c r="E552" s="2" t="s">
        <v>70</v>
      </c>
    </row>
    <row r="553" spans="1:5" ht="70" x14ac:dyDescent="0.2">
      <c r="A553" s="2" t="s">
        <v>91</v>
      </c>
      <c r="B553" s="2" t="str">
        <f>HYPERLINK("https://www.winnipegfreepress.com/arts-and-life/life/2024/03/01/yogurts-can-make-limited-claim-that-the-food-reduces-risk-of-type-2-diabetes-fda-says")</f>
        <v>https://www.winnipegfreepress.com/arts-and-life/life/2024/03/01/yogurts-can-make-limited-claim-that-the-food-reduces-risk-of-type-2-diabetes-fda-says</v>
      </c>
      <c r="C553" s="2" t="s">
        <v>2832</v>
      </c>
      <c r="D553" s="3">
        <v>45352.585636574076</v>
      </c>
      <c r="E553" s="2" t="s">
        <v>70</v>
      </c>
    </row>
    <row r="554" spans="1:5" ht="56" x14ac:dyDescent="0.2">
      <c r="A554" s="2" t="s">
        <v>91</v>
      </c>
      <c r="B554" s="2" t="str">
        <f>HYPERLINK("https://www.seattletimes.com/seattle-news/health/yogurts-can-make-limited-claim-that-the-food-reduces-risk-of-type-2-diabetes-fda-says/")</f>
        <v>https://www.seattletimes.com/seattle-news/health/yogurts-can-make-limited-claim-that-the-food-reduces-risk-of-type-2-diabetes-fda-says/</v>
      </c>
      <c r="C554" s="2" t="s">
        <v>3375</v>
      </c>
      <c r="D554" s="3">
        <v>45352.585717592592</v>
      </c>
      <c r="E554" s="2" t="s">
        <v>70</v>
      </c>
    </row>
    <row r="555" spans="1:5" ht="42" x14ac:dyDescent="0.2">
      <c r="A555" s="2" t="s">
        <v>91</v>
      </c>
      <c r="B555" s="2" t="str">
        <f>HYPERLINK("https://www.independent.co.uk/news/ap-french-b2505619.html")</f>
        <v>https://www.independent.co.uk/news/ap-french-b2505619.html</v>
      </c>
      <c r="C555" s="2" t="s">
        <v>3649</v>
      </c>
      <c r="D555" s="3">
        <v>45352.585775462961</v>
      </c>
      <c r="E555" s="2" t="s">
        <v>70</v>
      </c>
    </row>
    <row r="556" spans="1:5" ht="56" x14ac:dyDescent="0.2">
      <c r="A556" s="2" t="s">
        <v>91</v>
      </c>
      <c r="B556" s="2" t="str">
        <f>HYPERLINK("https://www.kxan.com/news/simplehealth/ap-health/ap-yogurts-can-make-limited-claim-that-the-food-reduces-risk-of-type-2-diabetes-fda-says/")</f>
        <v>https://www.kxan.com/news/simplehealth/ap-health/ap-yogurts-can-make-limited-claim-that-the-food-reduces-risk-of-type-2-diabetes-fda-says/</v>
      </c>
      <c r="C556" s="2" t="s">
        <v>3122</v>
      </c>
      <c r="D556" s="3">
        <v>45352.585868055547</v>
      </c>
      <c r="E556" s="2" t="s">
        <v>549</v>
      </c>
    </row>
    <row r="557" spans="1:5" ht="56" x14ac:dyDescent="0.2">
      <c r="A557" s="2" t="s">
        <v>91</v>
      </c>
      <c r="B557" s="2" t="str">
        <f>HYPERLINK("https://www.wsbtv.com/news/health/yogurts-can-make/VBOFMCIN6JJDMR3CH5LGEYZQCA/")</f>
        <v>https://www.wsbtv.com/news/health/yogurts-can-make/VBOFMCIN6JJDMR3CH5LGEYZQCA/</v>
      </c>
      <c r="C557" s="2" t="s">
        <v>3223</v>
      </c>
      <c r="D557" s="3">
        <v>45352.5858912037</v>
      </c>
      <c r="E557" s="2" t="s">
        <v>70</v>
      </c>
    </row>
    <row r="558" spans="1:5" ht="56" x14ac:dyDescent="0.2">
      <c r="A558" s="2" t="s">
        <v>91</v>
      </c>
      <c r="B558" s="2" t="str">
        <f>HYPERLINK("https://www.startribune.com/yogurts-can-make-limited-claim-that-the-food-reduces-risk-of-type-2-diabetes-fda-says/600347519/")</f>
        <v>https://www.startribune.com/yogurts-can-make-limited-claim-that-the-food-reduces-risk-of-type-2-diabetes-fda-says/600347519/</v>
      </c>
      <c r="C558" s="2" t="s">
        <v>3177</v>
      </c>
      <c r="D558" s="3">
        <v>45352.585960648154</v>
      </c>
      <c r="E558" s="2" t="s">
        <v>3287</v>
      </c>
    </row>
    <row r="559" spans="1:5" ht="56" x14ac:dyDescent="0.2">
      <c r="A559" s="2" t="s">
        <v>91</v>
      </c>
      <c r="B559" s="2" t="str">
        <f>HYPERLINK("https://www.clickondetroit.com/health/2024/03/01/yogurts-can-make-limited-claim-that-the-food-reduces-risk-of-type-2-diabetes-fda-says/")</f>
        <v>https://www.clickondetroit.com/health/2024/03/01/yogurts-can-make-limited-claim-that-the-food-reduces-risk-of-type-2-diabetes-fda-says/</v>
      </c>
      <c r="C559" s="2" t="s">
        <v>3067</v>
      </c>
      <c r="D559" s="3">
        <v>45352.586145833331</v>
      </c>
      <c r="E559" s="2" t="s">
        <v>70</v>
      </c>
    </row>
    <row r="560" spans="1:5" ht="56" x14ac:dyDescent="0.2">
      <c r="A560" s="2" t="s">
        <v>91</v>
      </c>
      <c r="B560" s="2" t="str">
        <f>HYPERLINK("https://www.wpxi.com/news/health/yogurts-can-make/VBOFMCIN6JJDMR3CH5LGEYZQCA/")</f>
        <v>https://www.wpxi.com/news/health/yogurts-can-make/VBOFMCIN6JJDMR3CH5LGEYZQCA/</v>
      </c>
      <c r="C560" s="2" t="s">
        <v>2916</v>
      </c>
      <c r="D560" s="3">
        <v>45352.586354166669</v>
      </c>
      <c r="E560" s="2" t="s">
        <v>70</v>
      </c>
    </row>
    <row r="561" spans="1:5" ht="56" x14ac:dyDescent="0.2">
      <c r="A561" s="2" t="s">
        <v>91</v>
      </c>
      <c r="B561" s="2" t="str">
        <f>HYPERLINK("https://www.960theref.com/news/health/yogurts-can-make/VBOFMCIN6JJDMR3CH5LGEYZQCA/")</f>
        <v>https://www.960theref.com/news/health/yogurts-can-make/VBOFMCIN6JJDMR3CH5LGEYZQCA/</v>
      </c>
      <c r="C561" s="2" t="s">
        <v>1056</v>
      </c>
      <c r="D561" s="3">
        <v>45352.586469907408</v>
      </c>
      <c r="E561" s="2" t="s">
        <v>70</v>
      </c>
    </row>
    <row r="562" spans="1:5" ht="56" x14ac:dyDescent="0.2">
      <c r="A562" s="2" t="s">
        <v>91</v>
      </c>
      <c r="B562" s="2" t="str">
        <f>HYPERLINK("https://www.wgauradio.com/news/health/yogurts-can-make/VBOFMCIN6JJDMR3CH5LGEYZQCA/")</f>
        <v>https://www.wgauradio.com/news/health/yogurts-can-make/VBOFMCIN6JJDMR3CH5LGEYZQCA/</v>
      </c>
      <c r="C562" s="2" t="s">
        <v>1227</v>
      </c>
      <c r="D562" s="3">
        <v>45352.586712962962</v>
      </c>
      <c r="E562" s="2" t="s">
        <v>70</v>
      </c>
    </row>
    <row r="563" spans="1:5" ht="56" x14ac:dyDescent="0.2">
      <c r="A563" s="2" t="s">
        <v>91</v>
      </c>
      <c r="B563" s="2" t="str">
        <f>HYPERLINK("https://www.wftv.com/news/health/yogurts-can-make/VBOFMCIN6JJDMR3CH5LGEYZQCA/")</f>
        <v>https://www.wftv.com/news/health/yogurts-can-make/VBOFMCIN6JJDMR3CH5LGEYZQCA/</v>
      </c>
      <c r="C563" s="2" t="s">
        <v>2857</v>
      </c>
      <c r="D563" s="3">
        <v>45352.587453703702</v>
      </c>
      <c r="E563" s="2" t="s">
        <v>70</v>
      </c>
    </row>
    <row r="564" spans="1:5" ht="56" x14ac:dyDescent="0.2">
      <c r="A564" s="2" t="s">
        <v>91</v>
      </c>
      <c r="B564" s="2" t="str">
        <f>HYPERLINK("https://www.clickorlando.com/health/2024/03/01/yogurts-can-make-limited-claim-that-the-food-reduces-risk-of-type-2-diabetes-fda-says/")</f>
        <v>https://www.clickorlando.com/health/2024/03/01/yogurts-can-make-limited-claim-that-the-food-reduces-risk-of-type-2-diabetes-fda-says/</v>
      </c>
      <c r="C564" s="2" t="s">
        <v>3113</v>
      </c>
      <c r="D564" s="3">
        <v>45352.587997685187</v>
      </c>
      <c r="E564" s="2" t="s">
        <v>549</v>
      </c>
    </row>
    <row r="565" spans="1:5" ht="56" x14ac:dyDescent="0.2">
      <c r="A565" s="2" t="s">
        <v>91</v>
      </c>
      <c r="B565" s="2" t="str">
        <f>HYPERLINK("https://www.piquenewsmagazine.com/health/yogurts-can-make-limited-claim-that-the-food-reduces-risk-of-type-2-diabetes-fda-says-8383595")</f>
        <v>https://www.piquenewsmagazine.com/health/yogurts-can-make-limited-claim-that-the-food-reduces-risk-of-type-2-diabetes-fda-says-8383595</v>
      </c>
      <c r="C565" s="2" t="s">
        <v>2072</v>
      </c>
      <c r="D565" s="3">
        <v>45352.588414351849</v>
      </c>
      <c r="E565" s="2" t="s">
        <v>70</v>
      </c>
    </row>
    <row r="566" spans="1:5" ht="56" x14ac:dyDescent="0.2">
      <c r="A566" s="2" t="s">
        <v>91</v>
      </c>
      <c r="B566" s="2" t="str">
        <f>HYPERLINK("https://www.piquenewsmagazine.com/the-mix/yogurts-can-make-limited-claim-that-the-food-reduces-risk-of-type-2-diabetes-fda-says-8383577")</f>
        <v>https://www.piquenewsmagazine.com/the-mix/yogurts-can-make-limited-claim-that-the-food-reduces-risk-of-type-2-diabetes-fda-says-8383577</v>
      </c>
      <c r="C566" s="2" t="s">
        <v>2072</v>
      </c>
      <c r="D566" s="3">
        <v>45352.588437500002</v>
      </c>
      <c r="E566" s="2" t="s">
        <v>70</v>
      </c>
    </row>
    <row r="567" spans="1:5" ht="70" x14ac:dyDescent="0.2">
      <c r="A567" s="2" t="s">
        <v>91</v>
      </c>
      <c r="B567" s="2" t="str">
        <f>HYPERLINK("https://www.seattlepi.com/news/article/yogurts-can-make-limited-claim-that-the-food-18698621.php")</f>
        <v>https://www.seattlepi.com/news/article/yogurts-can-make-limited-claim-that-the-food-18698621.php</v>
      </c>
      <c r="C567" s="2" t="s">
        <v>2324</v>
      </c>
      <c r="D567" s="3">
        <v>45352.588506944441</v>
      </c>
      <c r="E567" s="2" t="s">
        <v>1703</v>
      </c>
    </row>
    <row r="568" spans="1:5" ht="56" x14ac:dyDescent="0.2">
      <c r="A568" s="2" t="s">
        <v>91</v>
      </c>
      <c r="B568" s="2" t="str">
        <f>HYPERLINK("https://www.vancouverisawesome.com/the-mix/yogurts-can-make-limited-claim-that-the-food-reduces-risk-of-type-2-diabetes-fda-says-8383577")</f>
        <v>https://www.vancouverisawesome.com/the-mix/yogurts-can-make-limited-claim-that-the-food-reduces-risk-of-type-2-diabetes-fda-says-8383577</v>
      </c>
      <c r="C568" s="2" t="s">
        <v>2927</v>
      </c>
      <c r="D568" s="3">
        <v>45352.588888888888</v>
      </c>
      <c r="E568" s="2" t="s">
        <v>70</v>
      </c>
    </row>
    <row r="569" spans="1:5" ht="56" x14ac:dyDescent="0.2">
      <c r="A569" s="2" t="s">
        <v>91</v>
      </c>
      <c r="B569" s="2" t="str">
        <f>HYPERLINK("https://www.vancouverisawesome.com/health/yogurts-can-make-limited-claim-that-the-food-reduces-risk-of-type-2-diabetes-fda-says-8383595")</f>
        <v>https://www.vancouverisawesome.com/health/yogurts-can-make-limited-claim-that-the-food-reduces-risk-of-type-2-diabetes-fda-says-8383595</v>
      </c>
      <c r="C569" s="2" t="s">
        <v>2927</v>
      </c>
      <c r="D569" s="3">
        <v>45352.588912037027</v>
      </c>
      <c r="E569" s="2" t="s">
        <v>70</v>
      </c>
    </row>
    <row r="570" spans="1:5" ht="84" x14ac:dyDescent="0.2">
      <c r="A570" s="2" t="s">
        <v>91</v>
      </c>
      <c r="B570" s="2" t="str">
        <f>HYPERLINK("https://ca.news.yahoo.com/yogurts-limited-claim-food-reduces-185433104.html")</f>
        <v>https://ca.news.yahoo.com/yogurts-limited-claim-food-reduces-185433104.html</v>
      </c>
      <c r="C570" s="2" t="s">
        <v>3097</v>
      </c>
      <c r="D570" s="3">
        <v>45352.589004629634</v>
      </c>
      <c r="E570" s="2" t="s">
        <v>828</v>
      </c>
    </row>
    <row r="571" spans="1:5" ht="56" x14ac:dyDescent="0.2">
      <c r="A571" s="2" t="s">
        <v>91</v>
      </c>
      <c r="B571" s="2" t="str">
        <f>HYPERLINK("https://kdvr.com/news/health/ap-yogurts-can-make-limited-claim-that-the-food-reduces-risk-of-type-2-diabetes-fda-says/")</f>
        <v>https://kdvr.com/news/health/ap-yogurts-can-make-limited-claim-that-the-food-reduces-risk-of-type-2-diabetes-fda-says/</v>
      </c>
      <c r="C571" s="2" t="s">
        <v>3101</v>
      </c>
      <c r="D571" s="3">
        <v>45352.589259259257</v>
      </c>
      <c r="E571" s="2" t="s">
        <v>70</v>
      </c>
    </row>
    <row r="572" spans="1:5" ht="56" x14ac:dyDescent="0.2">
      <c r="A572" s="2" t="s">
        <v>91</v>
      </c>
      <c r="B572" s="2" t="str">
        <f>HYPERLINK("https://www.krqe.com/health/ap-yogurts-can-make-limited-claim-that-the-food-reduces-risk-of-type-2-diabetes-fda-says/")</f>
        <v>https://www.krqe.com/health/ap-yogurts-can-make-limited-claim-that-the-food-reduces-risk-of-type-2-diabetes-fda-says/</v>
      </c>
      <c r="C572" s="2" t="s">
        <v>2785</v>
      </c>
      <c r="D572" s="3">
        <v>45352.589965277781</v>
      </c>
      <c r="E572" s="2" t="s">
        <v>549</v>
      </c>
    </row>
    <row r="573" spans="1:5" ht="56" x14ac:dyDescent="0.2">
      <c r="A573" s="2" t="s">
        <v>91</v>
      </c>
      <c r="B573" s="2" t="str">
        <f>HYPERLINK("https://newsleaflets.com/yogurts-can-make-limited-claim-that-the-food-reduces-risk-of-type-2-diabetes-fda-says")</f>
        <v>https://newsleaflets.com/yogurts-can-make-limited-claim-that-the-food-reduces-risk-of-type-2-diabetes-fda-says</v>
      </c>
      <c r="C573" s="2" t="s">
        <v>463</v>
      </c>
      <c r="D573" s="3">
        <v>45352.590370370373</v>
      </c>
      <c r="E573" s="2" t="s">
        <v>70</v>
      </c>
    </row>
    <row r="574" spans="1:5" ht="56" x14ac:dyDescent="0.2">
      <c r="A574" s="2" t="s">
        <v>91</v>
      </c>
      <c r="B574" s="2" t="str">
        <f>HYPERLINK("https://www.newwestrecord.ca/health/yogurts-can-make-limited-claim-that-the-food-reduces-risk-of-type-2-diabetes-fda-says-8383595")</f>
        <v>https://www.newwestrecord.ca/health/yogurts-can-make-limited-claim-that-the-food-reduces-risk-of-type-2-diabetes-fda-says-8383595</v>
      </c>
      <c r="C574" s="2" t="s">
        <v>1885</v>
      </c>
      <c r="D574" s="3">
        <v>45352.590520833342</v>
      </c>
      <c r="E574" s="2" t="s">
        <v>70</v>
      </c>
    </row>
    <row r="575" spans="1:5" ht="56" x14ac:dyDescent="0.2">
      <c r="A575" s="2" t="s">
        <v>91</v>
      </c>
      <c r="B575" s="2" t="str">
        <f>HYPERLINK("https://www.newwestrecord.ca/the-mix/yogurts-can-make-limited-claim-that-the-food-reduces-risk-of-type-2-diabetes-fda-says-8383577")</f>
        <v>https://www.newwestrecord.ca/the-mix/yogurts-can-make-limited-claim-that-the-food-reduces-risk-of-type-2-diabetes-fda-says-8383577</v>
      </c>
      <c r="C575" s="2" t="s">
        <v>1885</v>
      </c>
      <c r="D575" s="3">
        <v>45352.590798611112</v>
      </c>
      <c r="E575" s="2" t="s">
        <v>70</v>
      </c>
    </row>
    <row r="576" spans="1:5" ht="42" x14ac:dyDescent="0.2">
      <c r="A576" s="2" t="s">
        <v>91</v>
      </c>
      <c r="B576" s="2" t="str">
        <f>HYPERLINK("https://abcnews.go.com/Health/wireStory/yogurts-make-limited-claim-food-reduces-risk-type-107725422")</f>
        <v>https://abcnews.go.com/Health/wireStory/yogurts-make-limited-claim-food-reduces-risk-type-107725422</v>
      </c>
      <c r="C576" s="2" t="s">
        <v>3622</v>
      </c>
      <c r="D576" s="3">
        <v>45352.591041666667</v>
      </c>
      <c r="E576" s="2" t="s">
        <v>70</v>
      </c>
    </row>
    <row r="577" spans="1:5" ht="84" x14ac:dyDescent="0.2">
      <c r="A577" s="2" t="s">
        <v>91</v>
      </c>
      <c r="B577" s="2" t="str">
        <f>HYPERLINK("https://ca.news.yahoo.com/yogurts-limited-claim-food-reduces-185612588.html")</f>
        <v>https://ca.news.yahoo.com/yogurts-limited-claim-food-reduces-185612588.html</v>
      </c>
      <c r="C577" s="2" t="s">
        <v>3097</v>
      </c>
      <c r="D577" s="3">
        <v>45352.591064814813</v>
      </c>
      <c r="E577" s="2" t="s">
        <v>828</v>
      </c>
    </row>
    <row r="578" spans="1:5" ht="84" x14ac:dyDescent="0.2">
      <c r="A578" s="2" t="s">
        <v>91</v>
      </c>
      <c r="B578" s="2" t="str">
        <f>HYPERLINK("https://am1070theanswer.com/news/national/yogurts-can-make-limited-claim-that-the-food-reduces-risk-of-type-2-diabetes-fda/06f67fbea87fcb7b35176520f50acbc8")</f>
        <v>https://am1070theanswer.com/news/national/yogurts-can-make-limited-claim-that-the-food-reduces-risk-of-type-2-diabetes-fda/06f67fbea87fcb7b35176520f50acbc8</v>
      </c>
      <c r="C578" s="2" t="s">
        <v>700</v>
      </c>
      <c r="D578" s="3">
        <v>45352.591226851851</v>
      </c>
      <c r="E578" s="2" t="s">
        <v>70</v>
      </c>
    </row>
    <row r="579" spans="1:5" ht="84" x14ac:dyDescent="0.2">
      <c r="A579" s="2" t="s">
        <v>91</v>
      </c>
      <c r="B579" s="2" t="str">
        <f>HYPERLINK("https://www.newsday.com/news/nation/yogurt-diabetes-FDA-type-2-f30198")</f>
        <v>https://www.newsday.com/news/nation/yogurt-diabetes-FDA-type-2-f30198</v>
      </c>
      <c r="C579" s="2" t="s">
        <v>2950</v>
      </c>
      <c r="D579" s="3">
        <v>45352.591562499998</v>
      </c>
      <c r="E579" s="2" t="s">
        <v>828</v>
      </c>
    </row>
    <row r="580" spans="1:5" ht="56" x14ac:dyDescent="0.2">
      <c r="A580" s="2" t="s">
        <v>91</v>
      </c>
      <c r="B580" s="2" t="str">
        <f>HYPERLINK("https://www.squamishchief.com/the-mix/yogurts-can-make-limited-claim-that-the-food-reduces-risk-of-type-2-diabetes-fda-says-8383577")</f>
        <v>https://www.squamishchief.com/the-mix/yogurts-can-make-limited-claim-that-the-food-reduces-risk-of-type-2-diabetes-fda-says-8383577</v>
      </c>
      <c r="C580" s="2" t="s">
        <v>1993</v>
      </c>
      <c r="D580" s="3">
        <v>45352.591689814813</v>
      </c>
      <c r="E580" s="2" t="s">
        <v>70</v>
      </c>
    </row>
    <row r="581" spans="1:5" ht="56" x14ac:dyDescent="0.2">
      <c r="A581" s="2" t="s">
        <v>91</v>
      </c>
      <c r="B581" s="2" t="str">
        <f>HYPERLINK("https://www.princegeorgecitizen.com/the-mix/yogurts-can-make-limited-claim-that-the-food-reduces-risk-of-type-2-diabetes-fda-says-8383577")</f>
        <v>https://www.princegeorgecitizen.com/the-mix/yogurts-can-make-limited-claim-that-the-food-reduces-risk-of-type-2-diabetes-fda-says-8383577</v>
      </c>
      <c r="C581" s="2" t="s">
        <v>2290</v>
      </c>
      <c r="D581" s="3">
        <v>45352.591909722221</v>
      </c>
      <c r="E581" s="2" t="s">
        <v>70</v>
      </c>
    </row>
    <row r="582" spans="1:5" ht="84" x14ac:dyDescent="0.2">
      <c r="A582" s="2" t="s">
        <v>91</v>
      </c>
      <c r="B582" s="2" t="str">
        <f>HYPERLINK("https://am970theanswer.com/news/national/yogurts-can-make-limited-claim-that-the-food-reduces-risk-of-type-2-diabetes-fda/06f67fbea87fcb7b35176520f50acbc8")</f>
        <v>https://am970theanswer.com/news/national/yogurts-can-make-limited-claim-that-the-food-reduces-risk-of-type-2-diabetes-fda/06f67fbea87fcb7b35176520f50acbc8</v>
      </c>
      <c r="C582" s="2" t="s">
        <v>1007</v>
      </c>
      <c r="D582" s="3">
        <v>45352.591979166667</v>
      </c>
      <c r="E582" s="2" t="s">
        <v>828</v>
      </c>
    </row>
    <row r="583" spans="1:5" ht="56" x14ac:dyDescent="0.2">
      <c r="A583" s="2" t="s">
        <v>91</v>
      </c>
      <c r="B583" s="2" t="str">
        <f>HYPERLINK("https://www.burnabynow.com/the-mix/yogurts-can-make-limited-claim-that-the-food-reduces-risk-of-type-2-diabetes-fda-says-8383577")</f>
        <v>https://www.burnabynow.com/the-mix/yogurts-can-make-limited-claim-that-the-food-reduces-risk-of-type-2-diabetes-fda-says-8383577</v>
      </c>
      <c r="C583" s="2" t="s">
        <v>2394</v>
      </c>
      <c r="D583" s="3">
        <v>45352.593634259261</v>
      </c>
      <c r="E583" s="2" t="s">
        <v>70</v>
      </c>
    </row>
    <row r="584" spans="1:5" ht="84" x14ac:dyDescent="0.2">
      <c r="A584" s="2" t="s">
        <v>91</v>
      </c>
      <c r="B584" s="2" t="str">
        <f>HYPERLINK("https://kstp.com/associated-press/ap-medical/yogurts-can-make-limited-claim-that-the-food-reduces-risk-of-type-2-diabetes-fda-says/")</f>
        <v>https://kstp.com/associated-press/ap-medical/yogurts-can-make-limited-claim-that-the-food-reduces-risk-of-type-2-diabetes-fda-says/</v>
      </c>
      <c r="C584" s="2" t="s">
        <v>2840</v>
      </c>
      <c r="D584" s="3">
        <v>45352.593726851846</v>
      </c>
      <c r="E584" s="2" t="s">
        <v>558</v>
      </c>
    </row>
    <row r="585" spans="1:5" ht="56" x14ac:dyDescent="0.2">
      <c r="A585" s="2" t="s">
        <v>91</v>
      </c>
      <c r="B585" s="2" t="str">
        <f>HYPERLINK("https://www.kiro7.com/news/health/yogurts-can-make/VBOFMCIN6JJDMR3CH5LGEYZQCA/")</f>
        <v>https://www.kiro7.com/news/health/yogurts-can-make/VBOFMCIN6JJDMR3CH5LGEYZQCA/</v>
      </c>
      <c r="C585" s="2" t="s">
        <v>3018</v>
      </c>
      <c r="D585" s="3">
        <v>45352.593807870369</v>
      </c>
      <c r="E585" s="2" t="s">
        <v>549</v>
      </c>
    </row>
    <row r="586" spans="1:5" ht="56" x14ac:dyDescent="0.2">
      <c r="A586" s="2" t="s">
        <v>91</v>
      </c>
      <c r="B586" s="2" t="str">
        <f>HYPERLINK("https://www.tricitynews.com/health/yogurts-can-make-limited-claim-that-the-food-reduces-risk-of-type-2-diabetes-fda-says-8383595")</f>
        <v>https://www.tricitynews.com/health/yogurts-can-make-limited-claim-that-the-food-reduces-risk-of-type-2-diabetes-fda-says-8383595</v>
      </c>
      <c r="C586" s="2" t="s">
        <v>2352</v>
      </c>
      <c r="D586" s="3">
        <v>45352.594375000001</v>
      </c>
      <c r="E586" s="2" t="s">
        <v>70</v>
      </c>
    </row>
    <row r="587" spans="1:5" ht="56" x14ac:dyDescent="0.2">
      <c r="A587" s="2" t="s">
        <v>91</v>
      </c>
      <c r="B587" s="2" t="str">
        <f>HYPERLINK("https://www.tricitynews.com/the-mix/yogurts-can-make-limited-claim-that-the-food-reduces-risk-of-type-2-diabetes-fda-says-8383577")</f>
        <v>https://www.tricitynews.com/the-mix/yogurts-can-make-limited-claim-that-the-food-reduces-risk-of-type-2-diabetes-fda-says-8383577</v>
      </c>
      <c r="C587" s="2" t="s">
        <v>2352</v>
      </c>
      <c r="D587" s="3">
        <v>45352.594421296293</v>
      </c>
      <c r="E587" s="2" t="s">
        <v>70</v>
      </c>
    </row>
    <row r="588" spans="1:5" ht="56" x14ac:dyDescent="0.2">
      <c r="A588" s="2" t="s">
        <v>91</v>
      </c>
      <c r="B588" s="2" t="str">
        <f>HYPERLINK("https://www.sasktoday.ca/the-mix/yogurts-can-make-limited-claim-that-the-food-reduces-risk-of-type-2-diabetes-fda-says-8383577")</f>
        <v>https://www.sasktoday.ca/the-mix/yogurts-can-make-limited-claim-that-the-food-reduces-risk-of-type-2-diabetes-fda-says-8383577</v>
      </c>
      <c r="C588" s="2" t="s">
        <v>2124</v>
      </c>
      <c r="D588" s="3">
        <v>45352.594629629632</v>
      </c>
      <c r="E588" s="2" t="s">
        <v>70</v>
      </c>
    </row>
    <row r="589" spans="1:5" ht="84" x14ac:dyDescent="0.2">
      <c r="A589" s="2" t="s">
        <v>91</v>
      </c>
      <c r="B589" s="2" t="str">
        <f>HYPERLINK("https://www.yahoo.com/news/yogurts-limited-claim-food-reduces-185433104.html")</f>
        <v>https://www.yahoo.com/news/yogurts-limited-claim-food-reduces-185433104.html</v>
      </c>
      <c r="C589" s="2" t="s">
        <v>3728</v>
      </c>
      <c r="D589" s="3">
        <v>45352.594837962963</v>
      </c>
      <c r="E589" s="2" t="s">
        <v>828</v>
      </c>
    </row>
    <row r="590" spans="1:5" ht="56" x14ac:dyDescent="0.2">
      <c r="A590" s="2" t="s">
        <v>91</v>
      </c>
      <c r="B590" s="2" t="str">
        <f>HYPERLINK("https://www.kob.com/news/health/yogurts-can-make-limited-claim-that-the-food-reduces-risk-of-type-2-diabetes-fda-says/")</f>
        <v>https://www.kob.com/news/health/yogurts-can-make-limited-claim-that-the-food-reduces-risk-of-type-2-diabetes-fda-says/</v>
      </c>
      <c r="C590" s="2" t="s">
        <v>2543</v>
      </c>
      <c r="D590" s="3">
        <v>45352.595046296286</v>
      </c>
      <c r="E590" s="2" t="s">
        <v>70</v>
      </c>
    </row>
    <row r="591" spans="1:5" ht="56" x14ac:dyDescent="0.2">
      <c r="A591" s="2" t="s">
        <v>91</v>
      </c>
      <c r="B591" s="2" t="str">
        <f>HYPERLINK("https://www.nsnews.com/health/yogurts-can-make-limited-claim-that-the-food-reduces-risk-of-type-2-diabetes-fda-says-8383595")</f>
        <v>https://www.nsnews.com/health/yogurts-can-make-limited-claim-that-the-food-reduces-risk-of-type-2-diabetes-fda-says-8383595</v>
      </c>
      <c r="C591" s="2" t="s">
        <v>2400</v>
      </c>
      <c r="D591" s="3">
        <v>45352.595648148148</v>
      </c>
      <c r="E591" s="2" t="s">
        <v>70</v>
      </c>
    </row>
    <row r="592" spans="1:5" ht="56" x14ac:dyDescent="0.2">
      <c r="A592" s="2" t="s">
        <v>91</v>
      </c>
      <c r="B592" s="2" t="str">
        <f>HYPERLINK("https://www.nsnews.com/the-mix/yogurts-can-make-limited-claim-that-the-food-reduces-risk-of-type-2-diabetes-fda-says-8383577")</f>
        <v>https://www.nsnews.com/the-mix/yogurts-can-make-limited-claim-that-the-food-reduces-risk-of-type-2-diabetes-fda-says-8383577</v>
      </c>
      <c r="C592" s="2" t="s">
        <v>2400</v>
      </c>
      <c r="D592" s="3">
        <v>45352.595671296287</v>
      </c>
      <c r="E592" s="2" t="s">
        <v>70</v>
      </c>
    </row>
    <row r="593" spans="1:5" ht="56" x14ac:dyDescent="0.2">
      <c r="A593" s="2" t="s">
        <v>91</v>
      </c>
      <c r="B593" s="2" t="str">
        <f>HYPERLINK("https://www.timescolonist.com/health/yogurts-can-make-limited-claim-that-the-food-reduces-risk-of-type-2-diabetes-fda-says-8383595")</f>
        <v>https://www.timescolonist.com/health/yogurts-can-make-limited-claim-that-the-food-reduces-risk-of-type-2-diabetes-fda-says-8383595</v>
      </c>
      <c r="C593" s="2" t="s">
        <v>2860</v>
      </c>
      <c r="D593" s="3">
        <v>45352.596087962957</v>
      </c>
      <c r="E593" s="2" t="s">
        <v>70</v>
      </c>
    </row>
    <row r="594" spans="1:5" ht="70" x14ac:dyDescent="0.2">
      <c r="A594" s="2" t="s">
        <v>1722</v>
      </c>
      <c r="B594" s="2" t="str">
        <f>HYPERLINK("https://www.usnews.com/news/health-news/articles/2024-03-01/yogurts-can-make-limited-claim-that-the-food-reduces-risk-of-type-2-diabetes-fda-says")</f>
        <v>https://www.usnews.com/news/health-news/articles/2024-03-01/yogurts-can-make-limited-claim-that-the-food-reduces-risk-of-type-2-diabetes-fda-says</v>
      </c>
      <c r="C594" s="2" t="s">
        <v>3612</v>
      </c>
      <c r="D594" s="3">
        <v>45352.596608796302</v>
      </c>
      <c r="E594" s="2" t="s">
        <v>70</v>
      </c>
    </row>
    <row r="595" spans="1:5" ht="56" x14ac:dyDescent="0.2">
      <c r="A595" s="2" t="s">
        <v>91</v>
      </c>
      <c r="B595" s="2" t="str">
        <f>HYPERLINK("https://www.delta-optimist.com/health/yogurts-can-make-limited-claim-that-the-food-reduces-risk-of-type-2-diabetes-fda-says-8383595")</f>
        <v>https://www.delta-optimist.com/health/yogurts-can-make-limited-claim-that-the-food-reduces-risk-of-type-2-diabetes-fda-says-8383595</v>
      </c>
      <c r="C595" s="2" t="s">
        <v>2001</v>
      </c>
      <c r="D595" s="3">
        <v>45352.597361111111</v>
      </c>
      <c r="E595" s="2" t="s">
        <v>70</v>
      </c>
    </row>
    <row r="596" spans="1:5" ht="56" x14ac:dyDescent="0.2">
      <c r="A596" s="2" t="s">
        <v>91</v>
      </c>
      <c r="B596" s="2" t="str">
        <f>HYPERLINK("https://www.delta-optimist.com/the-mix/yogurts-can-make-limited-claim-that-the-food-reduces-risk-of-type-2-diabetes-fda-says-8383577")</f>
        <v>https://www.delta-optimist.com/the-mix/yogurts-can-make-limited-claim-that-the-food-reduces-risk-of-type-2-diabetes-fda-says-8383577</v>
      </c>
      <c r="C596" s="2" t="s">
        <v>2001</v>
      </c>
      <c r="D596" s="3">
        <v>45352.597372685188</v>
      </c>
      <c r="E596" s="2" t="s">
        <v>70</v>
      </c>
    </row>
    <row r="597" spans="1:5" ht="70" x14ac:dyDescent="0.2">
      <c r="A597" s="2" t="s">
        <v>91</v>
      </c>
      <c r="B597" s="2" t="str">
        <f>HYPERLINK("https://www.thespec.com/life/yogurts-can-make-limited-claim-that-the-food-reduces-risk-of-type-2-diabetes-fda/article_f6c4aef4-e905-51cc-874e-afcb57d07a20.html")</f>
        <v>https://www.thespec.com/life/yogurts-can-make-limited-claim-that-the-food-reduces-risk-of-type-2-diabetes-fda/article_f6c4aef4-e905-51cc-874e-afcb57d07a20.html</v>
      </c>
      <c r="C597" s="2" t="s">
        <v>2836</v>
      </c>
      <c r="D597" s="3">
        <v>45352.597453703696</v>
      </c>
      <c r="E597" s="2" t="s">
        <v>70</v>
      </c>
    </row>
    <row r="598" spans="1:5" ht="84" x14ac:dyDescent="0.2">
      <c r="A598" s="2" t="s">
        <v>91</v>
      </c>
      <c r="B598" s="2" t="str">
        <f>HYPERLINK("https://www.register-herald.com/news/nation_world/yogurts-can-make-limited-claim-that-the-food-reduces-risk-of-type-2-diabetes-fda/article_fc5ce8b8-ca40-5637-adbd-7cf6eef2c5e9.html")</f>
        <v>https://www.register-herald.com/news/nation_world/yogurts-can-make-limited-claim-that-the-food-reduces-risk-of-type-2-diabetes-fda/article_fc5ce8b8-ca40-5637-adbd-7cf6eef2c5e9.html</v>
      </c>
      <c r="C598" s="2" t="s">
        <v>1795</v>
      </c>
      <c r="D598" s="3">
        <v>45352.597673611112</v>
      </c>
      <c r="E598" s="2" t="s">
        <v>828</v>
      </c>
    </row>
    <row r="599" spans="1:5" ht="56" x14ac:dyDescent="0.2">
      <c r="A599" s="2" t="s">
        <v>91</v>
      </c>
      <c r="B599" s="2" t="str">
        <f>HYPERLINK("https://www.richmond-news.com/health/yogurts-can-make-limited-claim-that-the-food-reduces-risk-of-type-2-diabetes-fda-says-8383595")</f>
        <v>https://www.richmond-news.com/health/yogurts-can-make-limited-claim-that-the-food-reduces-risk-of-type-2-diabetes-fda-says-8383595</v>
      </c>
      <c r="C599" s="2" t="s">
        <v>2513</v>
      </c>
      <c r="D599" s="3">
        <v>45352.598449074067</v>
      </c>
      <c r="E599" s="2" t="s">
        <v>70</v>
      </c>
    </row>
    <row r="600" spans="1:5" ht="56" x14ac:dyDescent="0.2">
      <c r="A600" s="2" t="s">
        <v>91</v>
      </c>
      <c r="B600" s="2" t="str">
        <f>HYPERLINK("https://www.richmond-news.com/the-mix/yogurts-can-make-limited-claim-that-the-food-reduces-risk-of-type-2-diabetes-fda-says-8383577")</f>
        <v>https://www.richmond-news.com/the-mix/yogurts-can-make-limited-claim-that-the-food-reduces-risk-of-type-2-diabetes-fda-says-8383577</v>
      </c>
      <c r="C600" s="2" t="s">
        <v>2513</v>
      </c>
      <c r="D600" s="3">
        <v>45352.598483796297</v>
      </c>
      <c r="E600" s="2" t="s">
        <v>70</v>
      </c>
    </row>
    <row r="601" spans="1:5" ht="70" x14ac:dyDescent="0.2">
      <c r="A601" s="2" t="s">
        <v>91</v>
      </c>
      <c r="B601" s="2" t="str">
        <f>HYPERLINK("https://www.mymotherlode.com/news/health-news/3316910/yogurts-can-make-limited-claim-that-the-food-reduces-risk-of-type-2-diabetes-fda-says.html")</f>
        <v>https://www.mymotherlode.com/news/health-news/3316910/yogurts-can-make-limited-claim-that-the-food-reduces-risk-of-type-2-diabetes-fda-says.html</v>
      </c>
      <c r="C601" s="2" t="s">
        <v>2096</v>
      </c>
      <c r="D601" s="3">
        <v>45352.600023148138</v>
      </c>
      <c r="E601" s="2" t="s">
        <v>70</v>
      </c>
    </row>
    <row r="602" spans="1:5" ht="70" x14ac:dyDescent="0.2">
      <c r="A602" s="2" t="s">
        <v>91</v>
      </c>
      <c r="B602" s="2" t="str">
        <f>HYPERLINK("https://www.timesunion.com/news/article/yogurts-can-make-limited-claim-that-the-food-18698621.php")</f>
        <v>https://www.timesunion.com/news/article/yogurts-can-make-limited-claim-that-the-food-18698621.php</v>
      </c>
      <c r="C602" s="2" t="s">
        <v>2922</v>
      </c>
      <c r="D602" s="3">
        <v>45352.600138888891</v>
      </c>
      <c r="E602" s="2" t="s">
        <v>1703</v>
      </c>
    </row>
    <row r="603" spans="1:5" ht="84" x14ac:dyDescent="0.2">
      <c r="A603" s="2" t="s">
        <v>91</v>
      </c>
      <c r="B603" s="2" t="str">
        <f>HYPERLINK("https://www.phillytrib.com/yogurts-can-make-limited-claim-that-the-food-reduces-risk-of-type-2-diabetes-fda/article_2f3b9f7e-4cfd-5f98-9889-3e829757aba5.html")</f>
        <v>https://www.phillytrib.com/yogurts-can-make-limited-claim-that-the-food-reduces-risk-of-type-2-diabetes-fda/article_2f3b9f7e-4cfd-5f98-9889-3e829757aba5.html</v>
      </c>
      <c r="C603" s="2" t="s">
        <v>2047</v>
      </c>
      <c r="D603" s="3">
        <v>45352.600254629629</v>
      </c>
      <c r="E603" s="2" t="s">
        <v>828</v>
      </c>
    </row>
    <row r="604" spans="1:5" ht="84" x14ac:dyDescent="0.2">
      <c r="A604" s="2" t="s">
        <v>1758</v>
      </c>
      <c r="B604" s="2" t="str">
        <f>HYPERLINK("https://www.metro.us/yogurts-can-make-limited-claim-that-the-food-reduces-risk-of-type-2-diabetes-fda-says/")</f>
        <v>https://www.metro.us/yogurts-can-make-limited-claim-that-the-food-reduces-risk-of-type-2-diabetes-fda-says/</v>
      </c>
      <c r="C604" s="2" t="s">
        <v>1759</v>
      </c>
      <c r="D604" s="3">
        <v>45352.600949074083</v>
      </c>
      <c r="E604" s="2" t="s">
        <v>558</v>
      </c>
    </row>
    <row r="605" spans="1:5" ht="56" x14ac:dyDescent="0.2">
      <c r="A605" s="2" t="s">
        <v>91</v>
      </c>
      <c r="B605" s="2" t="str">
        <f>HYPERLINK("https://ktvz.com/news/ap-national-news/2024/03/01/yogurts-can-make-limited-claim-that-the-food-reduces-risk-of-type-2-diabetes-fda-says/")</f>
        <v>https://ktvz.com/news/ap-national-news/2024/03/01/yogurts-can-make-limited-claim-that-the-food-reduces-risk-of-type-2-diabetes-fda-says/</v>
      </c>
      <c r="C605" s="2" t="s">
        <v>2747</v>
      </c>
      <c r="D605" s="3">
        <v>45352.601898148147</v>
      </c>
      <c r="E605" s="2" t="s">
        <v>70</v>
      </c>
    </row>
    <row r="606" spans="1:5" ht="56" x14ac:dyDescent="0.2">
      <c r="A606" s="2" t="s">
        <v>91</v>
      </c>
      <c r="B606" s="2" t="str">
        <f>HYPERLINK("https://www.opb.org/article/2024/03/01/yogurts-can-make-limited-claim-that-the-food-reduces-risk-of-type-2-diabetes-fda-says/")</f>
        <v>https://www.opb.org/article/2024/03/01/yogurts-can-make-limited-claim-that-the-food-reduces-risk-of-type-2-diabetes-fda-says/</v>
      </c>
      <c r="C606" s="2" t="s">
        <v>2855</v>
      </c>
      <c r="D606" s="3">
        <v>45352.603854166657</v>
      </c>
      <c r="E606" s="2" t="s">
        <v>70</v>
      </c>
    </row>
    <row r="607" spans="1:5" ht="56" x14ac:dyDescent="0.2">
      <c r="A607" s="2" t="s">
        <v>91</v>
      </c>
      <c r="B607" s="2" t="str">
        <f>HYPERLINK("https://www.tricityrecordnm.com/articles/yogurts-can-make-limited-claim-that-the-food-reduces-risk-of-type-2-diabetes-fda-says/")</f>
        <v>https://www.tricityrecordnm.com/articles/yogurts-can-make-limited-claim-that-the-food-reduces-risk-of-type-2-diabetes-fda-says/</v>
      </c>
      <c r="C607" s="2" t="s">
        <v>1734</v>
      </c>
      <c r="D607" s="3">
        <v>45352.604363425933</v>
      </c>
      <c r="E607" s="2" t="s">
        <v>70</v>
      </c>
    </row>
    <row r="608" spans="1:5" ht="84" x14ac:dyDescent="0.2">
      <c r="A608" s="2" t="s">
        <v>91</v>
      </c>
      <c r="B608" s="2" t="str">
        <f>HYPERLINK("https://www.heraldbulletin.com/news/nation_world/yogurts-can-make-limited-claim-that-the-food-reduces-risk-of-type-2-diabetes-fda/article_cd9c319d-bdff-5569-8bd2-c952ea170bd1.html")</f>
        <v>https://www.heraldbulletin.com/news/nation_world/yogurts-can-make-limited-claim-that-the-food-reduces-risk-of-type-2-diabetes-fda/article_cd9c319d-bdff-5569-8bd2-c952ea170bd1.html</v>
      </c>
      <c r="C608" s="2" t="s">
        <v>1693</v>
      </c>
      <c r="D608" s="3">
        <v>45352.604386574072</v>
      </c>
      <c r="E608" s="2" t="s">
        <v>828</v>
      </c>
    </row>
    <row r="609" spans="1:5" ht="154" x14ac:dyDescent="0.2">
      <c r="A609" s="2" t="s">
        <v>91</v>
      </c>
      <c r="B609" s="2" t="str">
        <f>HYPERLINK("https://theanswerorlando.com/news/national/yogurts-can-make-limited-claim-that-the-food-reduces-risk-of-type-2-diabetes-fda/06f67fbea87fcb7b35176520f50acbc8")</f>
        <v>https://theanswerorlando.com/news/national/yogurts-can-make-limited-claim-that-the-food-reduces-risk-of-type-2-diabetes-fda/06f67fbea87fcb7b35176520f50acbc8</v>
      </c>
      <c r="C609" s="2" t="s">
        <v>707</v>
      </c>
      <c r="D609" s="3">
        <v>45352.605231481481</v>
      </c>
      <c r="E609" s="2" t="s">
        <v>708</v>
      </c>
    </row>
    <row r="610" spans="1:5" ht="84" x14ac:dyDescent="0.2">
      <c r="A610" s="2" t="s">
        <v>91</v>
      </c>
      <c r="B610" s="2" t="str">
        <f>HYPERLINK("https://www.meridianstar.com/news/nation_and_world/yogurts-can-make-limited-claim-that-the-food-reduces-risk-of-type-2-diabetes-fda/article_afeb2a42-2b49-59f3-8f43-322a5ddf1e6a.html")</f>
        <v>https://www.meridianstar.com/news/nation_and_world/yogurts-can-make-limited-claim-that-the-food-reduces-risk-of-type-2-diabetes-fda/article_afeb2a42-2b49-59f3-8f43-322a5ddf1e6a.html</v>
      </c>
      <c r="C610" s="2" t="s">
        <v>1511</v>
      </c>
      <c r="D610" s="3">
        <v>45352.605752314812</v>
      </c>
      <c r="E610" s="2" t="s">
        <v>828</v>
      </c>
    </row>
    <row r="611" spans="1:5" ht="84" x14ac:dyDescent="0.2">
      <c r="A611" s="2" t="s">
        <v>91</v>
      </c>
      <c r="B611" s="2" t="str">
        <f>HYPERLINK("https://www.yakimaherald.com/news/nation_and_world/nation/yogurts-can-make-limited-claim-that-the-food-reduces-risk-of-type-2-diabetes-fda/article_feab605a-bd0b-5f8a-bd55-4346783e8d0c.html")</f>
        <v>https://www.yakimaherald.com/news/nation_and_world/nation/yogurts-can-make-limited-claim-that-the-food-reduces-risk-of-type-2-diabetes-fda/article_feab605a-bd0b-5f8a-bd55-4346783e8d0c.html</v>
      </c>
      <c r="C611" s="2" t="s">
        <v>2326</v>
      </c>
      <c r="D611" s="3">
        <v>45352.605879629627</v>
      </c>
      <c r="E611" s="2" t="s">
        <v>828</v>
      </c>
    </row>
    <row r="612" spans="1:5" ht="42" x14ac:dyDescent="0.2">
      <c r="A612" s="2" t="s">
        <v>91</v>
      </c>
      <c r="B612" s="2" t="str">
        <f>HYPERLINK("https://srnnews.com/yogurts-can-make-limited-claim-that-the-food-reduces-risk-of-type-2-diabetes-fda-says/")</f>
        <v>https://srnnews.com/yogurts-can-make-limited-claim-that-the-food-reduces-risk-of-type-2-diabetes-fda-says/</v>
      </c>
      <c r="C612" s="2" t="s">
        <v>1350</v>
      </c>
      <c r="D612" s="3">
        <v>45352.606134259258</v>
      </c>
      <c r="E612" s="2" t="s">
        <v>70</v>
      </c>
    </row>
    <row r="613" spans="1:5" ht="84" x14ac:dyDescent="0.2">
      <c r="A613" s="2" t="s">
        <v>91</v>
      </c>
      <c r="B613" s="2" t="str">
        <f>HYPERLINK("https://scnow.com/ap/national/yogurts-can-make-limited-claim-that-the-food-reduces-risk-of-type-2-diabetes-fda/article_b48044a1-0a3d-5676-872e-3c3b158d3f2e.html")</f>
        <v>https://scnow.com/ap/national/yogurts-can-make-limited-claim-that-the-food-reduces-risk-of-type-2-diabetes-fda/article_b48044a1-0a3d-5676-872e-3c3b158d3f2e.html</v>
      </c>
      <c r="C613" s="2" t="s">
        <v>1678</v>
      </c>
      <c r="D613" s="3">
        <v>45352.606354166674</v>
      </c>
      <c r="E613" s="2" t="s">
        <v>828</v>
      </c>
    </row>
    <row r="614" spans="1:5" ht="56" x14ac:dyDescent="0.2">
      <c r="A614" s="2" t="s">
        <v>91</v>
      </c>
      <c r="B614" s="2" t="str">
        <f>HYPERLINK("https://fox59.com/news/health/ap-health/ap-yogurts-can-make-limited-claim-that-the-food-reduces-risk-of-type-2-diabetes-fda-says/")</f>
        <v>https://fox59.com/news/health/ap-health/ap-yogurts-can-make-limited-claim-that-the-food-reduces-risk-of-type-2-diabetes-fda-says/</v>
      </c>
      <c r="C614" s="2" t="s">
        <v>3109</v>
      </c>
      <c r="D614" s="3">
        <v>45352.606481481482</v>
      </c>
      <c r="E614" s="2" t="s">
        <v>549</v>
      </c>
    </row>
    <row r="615" spans="1:5" ht="126" x14ac:dyDescent="0.2">
      <c r="A615" s="2" t="s">
        <v>843</v>
      </c>
      <c r="B615" s="2" t="str">
        <f>HYPERLINK("https://medriva.com/health/fdas-nod-to-yogurt-a-spoonful-of-caution-in-the-battle-against-diabetes")</f>
        <v>https://medriva.com/health/fdas-nod-to-yogurt-a-spoonful-of-caution-in-the-battle-against-diabetes</v>
      </c>
      <c r="C615" s="2" t="s">
        <v>840</v>
      </c>
      <c r="D615" s="3">
        <v>45352.606689814813</v>
      </c>
      <c r="E615" s="2" t="s">
        <v>844</v>
      </c>
    </row>
    <row r="616" spans="1:5" ht="56" x14ac:dyDescent="0.2">
      <c r="A616" s="2" t="s">
        <v>91</v>
      </c>
      <c r="B616" s="2" t="str">
        <f>HYPERLINK("https://wgnradio.com/health/ap-yogurts-can-make-limited-claim-that-the-food-reduces-risk-of-type-2-diabetes-fda-says/")</f>
        <v>https://wgnradio.com/health/ap-yogurts-can-make-limited-claim-that-the-food-reduces-risk-of-type-2-diabetes-fda-says/</v>
      </c>
      <c r="C616" s="2" t="s">
        <v>2209</v>
      </c>
      <c r="D616" s="3">
        <v>45352.606932870367</v>
      </c>
      <c r="E616" s="2" t="s">
        <v>549</v>
      </c>
    </row>
    <row r="617" spans="1:5" ht="84" x14ac:dyDescent="0.2">
      <c r="A617" s="2" t="s">
        <v>91</v>
      </c>
      <c r="B617" s="2" t="str">
        <f>HYPERLINK("https://www.thedailystar.com/news/national/yogurts-can-make-limited-claim-that-the-food-reduces-risk-of-type-2-diabetes-fda/article_3c43c45e-ab5c-59c2-a583-e58c8e348238.html")</f>
        <v>https://www.thedailystar.com/news/national/yogurts-can-make-limited-claim-that-the-food-reduces-risk-of-type-2-diabetes-fda/article_3c43c45e-ab5c-59c2-a583-e58c8e348238.html</v>
      </c>
      <c r="C617" s="2" t="s">
        <v>1801</v>
      </c>
      <c r="D617" s="3">
        <v>45352.60832175926</v>
      </c>
      <c r="E617" s="2" t="s">
        <v>828</v>
      </c>
    </row>
    <row r="618" spans="1:5" ht="84" x14ac:dyDescent="0.2">
      <c r="A618" s="2" t="s">
        <v>1958</v>
      </c>
      <c r="B618" s="2" t="str">
        <f>HYPERLINK("https://kion546.com/ap-national/2024/03/01/yogurts-can-make-limited-claim-that-the-food-reduces-risk-of-type-2-diabetes-fda-says/")</f>
        <v>https://kion546.com/ap-national/2024/03/01/yogurts-can-make-limited-claim-that-the-food-reduces-risk-of-type-2-diabetes-fda-says/</v>
      </c>
      <c r="C618" s="2" t="s">
        <v>1955</v>
      </c>
      <c r="D618" s="3">
        <v>45352.609016203707</v>
      </c>
      <c r="E618" s="2" t="s">
        <v>558</v>
      </c>
    </row>
    <row r="619" spans="1:5" ht="84" x14ac:dyDescent="0.2">
      <c r="A619" s="2" t="s">
        <v>91</v>
      </c>
      <c r="B619" s="2" t="str">
        <f>HYPERLINK("https://www.washtimesherald.com/news/national_news/yogurts-can-make-limited-claim-that-the-food-reduces-risk-of-type-2-diabetes-fda/article_b9e9aa3e-8885-551f-b114-33562596eb87.html")</f>
        <v>https://www.washtimesherald.com/news/national_news/yogurts-can-make-limited-claim-that-the-food-reduces-risk-of-type-2-diabetes-fda/article_b9e9aa3e-8885-551f-b114-33562596eb87.html</v>
      </c>
      <c r="C619" s="2" t="s">
        <v>1157</v>
      </c>
      <c r="D619" s="3">
        <v>45352.610381944447</v>
      </c>
      <c r="E619" s="2" t="s">
        <v>828</v>
      </c>
    </row>
    <row r="620" spans="1:5" ht="56" x14ac:dyDescent="0.2">
      <c r="A620" s="2" t="s">
        <v>91</v>
      </c>
      <c r="B620" s="2" t="str">
        <f>HYPERLINK("https://newsconcerns.com/yogurts-can-make-limited-claim-that-the-food-reduces-risk-of-type-2-diabetes-fda-says/")</f>
        <v>https://newsconcerns.com/yogurts-can-make-limited-claim-that-the-food-reduces-risk-of-type-2-diabetes-fda-says/</v>
      </c>
      <c r="C620" s="2" t="s">
        <v>625</v>
      </c>
      <c r="D620" s="3">
        <v>45352.611585648148</v>
      </c>
      <c r="E620" s="2" t="s">
        <v>70</v>
      </c>
    </row>
    <row r="621" spans="1:5" ht="84" x14ac:dyDescent="0.2">
      <c r="A621" s="2" t="s">
        <v>91</v>
      </c>
      <c r="B621" s="2" t="str">
        <f>HYPERLINK("https://www.somerset-kentucky.com/ap/national/yogurts-can-make-limited-claim-that-the-food-reduces-risk-of-type-2-diabetes-fda/article_92c95710-96eb-54e2-95cc-f65006fa48d5.html")</f>
        <v>https://www.somerset-kentucky.com/ap/national/yogurts-can-make-limited-claim-that-the-food-reduces-risk-of-type-2-diabetes-fda/article_92c95710-96eb-54e2-95cc-f65006fa48d5.html</v>
      </c>
      <c r="C621" s="2" t="s">
        <v>1431</v>
      </c>
      <c r="D621" s="3">
        <v>45352.612962962958</v>
      </c>
      <c r="E621" s="2" t="s">
        <v>828</v>
      </c>
    </row>
    <row r="622" spans="1:5" ht="84" x14ac:dyDescent="0.2">
      <c r="A622" s="2" t="s">
        <v>91</v>
      </c>
      <c r="B622" s="2" t="str">
        <f>HYPERLINK("https://www.ottumwacourier.com/news/national_news/yogurts-can-make-limited-claim-that-the-food-reduces-risk-of-type-2-diabetes-fda/article_f2f1a6dd-ee89-5648-aaf2-8055b1c1c017.html")</f>
        <v>https://www.ottumwacourier.com/news/national_news/yogurts-can-make-limited-claim-that-the-food-reduces-risk-of-type-2-diabetes-fda/article_f2f1a6dd-ee89-5648-aaf2-8055b1c1c017.html</v>
      </c>
      <c r="C622" s="2" t="s">
        <v>1504</v>
      </c>
      <c r="D622" s="3">
        <v>45352.613182870373</v>
      </c>
      <c r="E622" s="2" t="s">
        <v>1237</v>
      </c>
    </row>
    <row r="623" spans="1:5" ht="154" x14ac:dyDescent="0.2">
      <c r="A623" s="2" t="s">
        <v>467</v>
      </c>
      <c r="B623" s="2" t="str">
        <f>HYPERLINK("https://vervetimes.com/yogurts-can-make-limited-claim-that-the-food-reduces-risk-of-type-2-diabetes-fda/")</f>
        <v>https://vervetimes.com/yogurts-can-make-limited-claim-that-the-food-reduces-risk-of-type-2-diabetes-fda/</v>
      </c>
      <c r="C623" s="2" t="s">
        <v>468</v>
      </c>
      <c r="D623" s="3">
        <v>45352.614629629628</v>
      </c>
      <c r="E623" s="2" t="s">
        <v>469</v>
      </c>
    </row>
    <row r="624" spans="1:5" ht="84" x14ac:dyDescent="0.2">
      <c r="A624" s="2" t="s">
        <v>3340</v>
      </c>
      <c r="B624" s="2" t="str">
        <f>HYPERLINK("https://www.yahoo.com/news/yogurts-limited-claim-reducing-risk-195628749.html")</f>
        <v>https://www.yahoo.com/news/yogurts-limited-claim-reducing-risk-195628749.html</v>
      </c>
      <c r="C624" s="2" t="s">
        <v>3728</v>
      </c>
      <c r="D624" s="3">
        <v>45352.622546296298</v>
      </c>
      <c r="E624" s="2" t="s">
        <v>558</v>
      </c>
    </row>
    <row r="625" spans="1:5" ht="42" x14ac:dyDescent="0.2">
      <c r="A625" s="2" t="s">
        <v>2789</v>
      </c>
      <c r="B625" s="2" t="str">
        <f>HYPERLINK("https://www.staradvertiser.com/2024/03/01/breaking-news/fda-yogurt-may-reduce-type-2-diabetes-risk/")</f>
        <v>https://www.staradvertiser.com/2024/03/01/breaking-news/fda-yogurt-may-reduce-type-2-diabetes-risk/</v>
      </c>
      <c r="C625" s="2" t="s">
        <v>2790</v>
      </c>
      <c r="D625" s="3">
        <v>45352.628923611112</v>
      </c>
      <c r="E625" s="2" t="s">
        <v>70</v>
      </c>
    </row>
    <row r="626" spans="1:5" ht="56" x14ac:dyDescent="0.2">
      <c r="A626" s="2" t="s">
        <v>91</v>
      </c>
      <c r="B626" s="2" t="str">
        <f>HYPERLINK("https://www.newsbreak.com/news/3352591004384-yogurts-can-make-limited-claim-that-the-food-reduces-risk-of-type-2-diabetes-fda-says")</f>
        <v>https://www.newsbreak.com/news/3352591004384-yogurts-can-make-limited-claim-that-the-food-reduces-risk-of-type-2-diabetes-fda-says</v>
      </c>
      <c r="C626" s="2" t="s">
        <v>3461</v>
      </c>
      <c r="D626" s="3">
        <v>45352.631967592592</v>
      </c>
      <c r="E626" s="2" t="s">
        <v>70</v>
      </c>
    </row>
    <row r="627" spans="1:5" ht="84" x14ac:dyDescent="0.2">
      <c r="A627" s="2" t="s">
        <v>3340</v>
      </c>
      <c r="B627" s="2" t="str">
        <f>HYPERLINK("https://fox8.com/news/yogurts-can-make-limited-claim-of-reducing-risk-of-type-2-diabetes-fda/")</f>
        <v>https://fox8.com/news/yogurts-can-make-limited-claim-of-reducing-risk-of-type-2-diabetes-fda/</v>
      </c>
      <c r="C627" s="2" t="s">
        <v>3339</v>
      </c>
      <c r="D627" s="3">
        <v>45352.63349537037</v>
      </c>
      <c r="E627" s="2" t="s">
        <v>558</v>
      </c>
    </row>
    <row r="628" spans="1:5" ht="56" x14ac:dyDescent="0.2">
      <c r="A628" s="2" t="s">
        <v>91</v>
      </c>
      <c r="B628" s="2" t="str">
        <f>HYPERLINK("https://todayschronic.com/yogurts-can-make-limited-claim-that-the-food-reduces-risk-of-type-2-diabetes-fda-says/")</f>
        <v>https://todayschronic.com/yogurts-can-make-limited-claim-that-the-food-reduces-risk-of-type-2-diabetes-fda-says/</v>
      </c>
      <c r="C628" s="2" t="s">
        <v>524</v>
      </c>
      <c r="D628" s="3">
        <v>45352.634618055563</v>
      </c>
      <c r="E628" s="2" t="s">
        <v>549</v>
      </c>
    </row>
    <row r="629" spans="1:5" ht="112" x14ac:dyDescent="0.2">
      <c r="A629" s="2" t="s">
        <v>2718</v>
      </c>
      <c r="B629" s="2" t="str">
        <f>HYPERLINK("https://www.2news.com/news/yogurts-can-make-limited-claim-food-reduces-risk-of-type-2-diabetes-fda-says/article_0ccc4c52-d801-11ee-b608-4f3d921217e0.html")</f>
        <v>https://www.2news.com/news/yogurts-can-make-limited-claim-food-reduces-risk-of-type-2-diabetes-fda-says/article_0ccc4c52-d801-11ee-b608-4f3d921217e0.html</v>
      </c>
      <c r="C629" s="2" t="s">
        <v>2473</v>
      </c>
      <c r="D629" s="3">
        <v>45352.635034722232</v>
      </c>
      <c r="E629" s="2" t="s">
        <v>2719</v>
      </c>
    </row>
    <row r="630" spans="1:5" ht="112" x14ac:dyDescent="0.2">
      <c r="A630" s="2" t="s">
        <v>3340</v>
      </c>
      <c r="B630" s="2" t="str">
        <f>HYPERLINK("https://www.newsbreak.com/news/3352659992169-yogurts-can-make-limited-claim-of-reducing-risk-of-type-2-diabetes-fda")</f>
        <v>https://www.newsbreak.com/news/3352659992169-yogurts-can-make-limited-claim-of-reducing-risk-of-type-2-diabetes-fda</v>
      </c>
      <c r="C630" s="2" t="s">
        <v>3461</v>
      </c>
      <c r="D630" s="3">
        <v>45352.638541666667</v>
      </c>
      <c r="E630" s="2" t="s">
        <v>3491</v>
      </c>
    </row>
    <row r="631" spans="1:5" ht="84" x14ac:dyDescent="0.2">
      <c r="A631" s="2" t="s">
        <v>2822</v>
      </c>
      <c r="B631" s="2" t="str">
        <f>HYPERLINK("https://www.wpri.com/health/fda-yogurts-can-make-limited-claim-that-the-food-reduces-risk-of-type-2-diabetes/")</f>
        <v>https://www.wpri.com/health/fda-yogurts-can-make-limited-claim-that-the-food-reduces-risk-of-type-2-diabetes/</v>
      </c>
      <c r="C631" s="2" t="s">
        <v>2821</v>
      </c>
      <c r="D631" s="3">
        <v>45352.647418981483</v>
      </c>
      <c r="E631" s="2" t="s">
        <v>558</v>
      </c>
    </row>
    <row r="632" spans="1:5" ht="84" x14ac:dyDescent="0.2">
      <c r="A632" s="2" t="s">
        <v>2445</v>
      </c>
      <c r="B632" s="2" t="str">
        <f>HYPERLINK("https://mynews13.com/fl/orlando/news/2024/03/01/fda-yogurt-diabetes")</f>
        <v>https://mynews13.com/fl/orlando/news/2024/03/01/fda-yogurt-diabetes</v>
      </c>
      <c r="C632" s="2" t="s">
        <v>2446</v>
      </c>
      <c r="D632" s="3">
        <v>45352.66034722222</v>
      </c>
      <c r="E632" s="2" t="s">
        <v>828</v>
      </c>
    </row>
    <row r="633" spans="1:5" ht="84" x14ac:dyDescent="0.2">
      <c r="A633" s="2" t="s">
        <v>2445</v>
      </c>
      <c r="B633" s="2" t="str">
        <f>HYPERLINK("https://spectrumnews1.com/oh/columbus/news/2024/03/01/fda-yogurt-diabetes")</f>
        <v>https://spectrumnews1.com/oh/columbus/news/2024/03/01/fda-yogurt-diabetes</v>
      </c>
      <c r="C633" s="2" t="s">
        <v>2779</v>
      </c>
      <c r="D633" s="3">
        <v>45352.66133101852</v>
      </c>
      <c r="E633" s="2" t="s">
        <v>828</v>
      </c>
    </row>
    <row r="634" spans="1:5" ht="84" x14ac:dyDescent="0.2">
      <c r="A634" s="2" t="s">
        <v>2827</v>
      </c>
      <c r="B634" s="2" t="str">
        <f>HYPERLINK("https://japantoday.com/category/features/food/yogurts-can-make-limited-claim-that-the-food-reduces-risk-of-type-2-diabetes-fda-says")</f>
        <v>https://japantoday.com/category/features/food/yogurts-can-make-limited-claim-that-the-food-reduces-risk-of-type-2-diabetes-fda-says</v>
      </c>
      <c r="C634" s="2" t="s">
        <v>2784</v>
      </c>
      <c r="D634" s="3">
        <v>45352.664965277778</v>
      </c>
      <c r="E634" s="2" t="s">
        <v>828</v>
      </c>
    </row>
    <row r="635" spans="1:5" ht="84" x14ac:dyDescent="0.2">
      <c r="A635" s="2" t="s">
        <v>2445</v>
      </c>
      <c r="B635" s="2" t="str">
        <f>HYPERLINK("http://www.spectrumlocalnews.com/tx/san-antonio/news/2024/03/01/fda-yogurt-diabetes")</f>
        <v>http://www.spectrumlocalnews.com/tx/san-antonio/news/2024/03/01/fda-yogurt-diabetes</v>
      </c>
      <c r="C635" s="2" t="s">
        <v>2915</v>
      </c>
      <c r="D635" s="3">
        <v>45352.665370370371</v>
      </c>
      <c r="E635" s="2" t="s">
        <v>828</v>
      </c>
    </row>
    <row r="636" spans="1:5" ht="84" x14ac:dyDescent="0.2">
      <c r="A636" s="2" t="s">
        <v>2445</v>
      </c>
      <c r="B636" s="2" t="str">
        <f>HYPERLINK("http://www.baynews9.com/fl/tampa/news/2024/03/01/fda-yogurt-diabetes")</f>
        <v>http://www.baynews9.com/fl/tampa/news/2024/03/01/fda-yogurt-diabetes</v>
      </c>
      <c r="C636" s="2" t="s">
        <v>2852</v>
      </c>
      <c r="D636" s="3">
        <v>45352.666574074072</v>
      </c>
      <c r="E636" s="2" t="s">
        <v>828</v>
      </c>
    </row>
    <row r="637" spans="1:5" ht="56" x14ac:dyDescent="0.2">
      <c r="A637" s="2" t="s">
        <v>91</v>
      </c>
      <c r="B637" s="2" t="str">
        <f>HYPERLINK("https://www.breitbart.com/news/yogurts-can-make-limited-claim-that-the-food-reduces-risk-of-type-2-diabetes-fda-says/")</f>
        <v>https://www.breitbart.com/news/yogurts-can-make-limited-claim-that-the-food-reduces-risk-of-type-2-diabetes-fda-says/</v>
      </c>
      <c r="C637" s="2" t="s">
        <v>3202</v>
      </c>
      <c r="D637" s="3">
        <v>45352.679479166669</v>
      </c>
      <c r="E637" s="2" t="s">
        <v>70</v>
      </c>
    </row>
    <row r="638" spans="1:5" ht="98" x14ac:dyDescent="0.2">
      <c r="A638" s="2" t="s">
        <v>826</v>
      </c>
      <c r="B638" s="2" t="str">
        <f>HYPERLINK("https://www.erienewsnow.com/story/50521737/yogurts-can-now-make-limited-claim-that-they-lower-type-2-diabetes-risk-fda-says")</f>
        <v>https://www.erienewsnow.com/story/50521737/yogurts-can-now-make-limited-claim-that-they-lower-type-2-diabetes-risk-fda-says</v>
      </c>
      <c r="C638" s="2" t="s">
        <v>2404</v>
      </c>
      <c r="D638" s="3">
        <v>45352.682638888888</v>
      </c>
      <c r="E638" s="2" t="s">
        <v>378</v>
      </c>
    </row>
    <row r="639" spans="1:5" ht="84" x14ac:dyDescent="0.2">
      <c r="A639" s="2" t="s">
        <v>91</v>
      </c>
      <c r="B639" s="2" t="str">
        <f>HYPERLINK("https://www.wsoctv.com/news/health/yogurts-can-make/VBOFMCIN6JJDMR3CH5LGEYZQCA/")</f>
        <v>https://www.wsoctv.com/news/health/yogurts-can-make/VBOFMCIN6JJDMR3CH5LGEYZQCA/</v>
      </c>
      <c r="C639" s="2" t="s">
        <v>2786</v>
      </c>
      <c r="D639" s="3">
        <v>45352.684120370373</v>
      </c>
      <c r="E639" s="2" t="s">
        <v>828</v>
      </c>
    </row>
    <row r="640" spans="1:5" ht="84" x14ac:dyDescent="0.2">
      <c r="A640" s="2" t="s">
        <v>1235</v>
      </c>
      <c r="B640" s="2" t="str">
        <f>HYPERLINK("https://www.kbsi23.com/i/yogurts-can-make-limited-claim-that-the-food-reduces-risk-of-type-2-diabetes-fda-says/")</f>
        <v>https://www.kbsi23.com/i/yogurts-can-make-limited-claim-that-the-food-reduces-risk-of-type-2-diabetes-fda-says/</v>
      </c>
      <c r="C640" s="2" t="s">
        <v>1236</v>
      </c>
      <c r="D640" s="3">
        <v>45352.70484953704</v>
      </c>
      <c r="E640" s="2" t="s">
        <v>1237</v>
      </c>
    </row>
    <row r="641" spans="1:5" ht="84" x14ac:dyDescent="0.2">
      <c r="A641" s="2" t="s">
        <v>91</v>
      </c>
      <c r="B641" s="2" t="str">
        <f>HYPERLINK("https://www.telegraphherald.com/ap/national/article_bc87d7ab-51fa-5906-8513-f0b89337a3f7.html")</f>
        <v>https://www.telegraphherald.com/ap/national/article_bc87d7ab-51fa-5906-8513-f0b89337a3f7.html</v>
      </c>
      <c r="C641" s="2" t="s">
        <v>2141</v>
      </c>
      <c r="D641" s="3">
        <v>45352.707476851851</v>
      </c>
      <c r="E641" s="2" t="s">
        <v>828</v>
      </c>
    </row>
    <row r="642" spans="1:5" ht="84" x14ac:dyDescent="0.2">
      <c r="A642" s="2" t="s">
        <v>91</v>
      </c>
      <c r="B642" s="2" t="str">
        <f>HYPERLINK("https://starherald.com/news/nation-world/yogurt-diabetes-fda-type-2/article_9c472485-ee97-5159-86cf-e2d8de0bce6a.html")</f>
        <v>https://starherald.com/news/nation-world/yogurt-diabetes-fda-type-2/article_9c472485-ee97-5159-86cf-e2d8de0bce6a.html</v>
      </c>
      <c r="C642" s="2" t="s">
        <v>1569</v>
      </c>
      <c r="D642" s="3">
        <v>45352.731319444443</v>
      </c>
      <c r="E642" s="2" t="s">
        <v>828</v>
      </c>
    </row>
    <row r="643" spans="1:5" ht="84" x14ac:dyDescent="0.2">
      <c r="A643" s="2" t="s">
        <v>91</v>
      </c>
      <c r="B643" s="2" t="str">
        <f>HYPERLINK("https://richmond.com/news/nation-world/yogurt-diabetes-fda-type-2/article_b3826ae9-e3fd-530d-8ac8-8af7977fa251.html")</f>
        <v>https://richmond.com/news/nation-world/yogurt-diabetes-fda-type-2/article_b3826ae9-e3fd-530d-8ac8-8af7977fa251.html</v>
      </c>
      <c r="C643" s="2" t="s">
        <v>2701</v>
      </c>
      <c r="D643" s="3">
        <v>45352.732974537037</v>
      </c>
      <c r="E643" s="2" t="s">
        <v>828</v>
      </c>
    </row>
    <row r="644" spans="1:5" ht="84" x14ac:dyDescent="0.2">
      <c r="A644" s="2" t="s">
        <v>91</v>
      </c>
      <c r="B644" s="2" t="str">
        <f>HYPERLINK("https://thetandd.com/news/nation-world/yogurt-diabetes-fda-type-2/article_8ea195f4-ae05-5aee-9240-1652e8ef07ac.html")</f>
        <v>https://thetandd.com/news/nation-world/yogurt-diabetes-fda-type-2/article_8ea195f4-ae05-5aee-9240-1652e8ef07ac.html</v>
      </c>
      <c r="C644" s="2" t="s">
        <v>1750</v>
      </c>
      <c r="D644" s="3">
        <v>45352.733043981483</v>
      </c>
      <c r="E644" s="2" t="s">
        <v>828</v>
      </c>
    </row>
    <row r="645" spans="1:5" ht="84" x14ac:dyDescent="0.2">
      <c r="A645" s="2" t="s">
        <v>91</v>
      </c>
      <c r="B645" s="2" t="str">
        <f>HYPERLINK("https://bismarcktribune.com/news/nation-world/yogurt-diabetes-fda-type-2/article_edc8bfd3-5770-5d1f-9b79-c419ff38a628.html")</f>
        <v>https://bismarcktribune.com/news/nation-world/yogurt-diabetes-fda-type-2/article_edc8bfd3-5770-5d1f-9b79-c419ff38a628.html</v>
      </c>
      <c r="C645" s="2" t="s">
        <v>1919</v>
      </c>
      <c r="D645" s="3">
        <v>45352.733541666668</v>
      </c>
      <c r="E645" s="2" t="s">
        <v>828</v>
      </c>
    </row>
    <row r="646" spans="1:5" ht="84" x14ac:dyDescent="0.2">
      <c r="A646" s="2" t="s">
        <v>91</v>
      </c>
      <c r="B646" s="2" t="str">
        <f>HYPERLINK("https://madison.com/news/nation-world/yogurt-diabetes-fda-type-2/article_2f37e8f9-451b-5469-a205-8568033a5c12.html")</f>
        <v>https://madison.com/news/nation-world/yogurt-diabetes-fda-type-2/article_2f37e8f9-451b-5469-a205-8568033a5c12.html</v>
      </c>
      <c r="C646" s="2" t="s">
        <v>2828</v>
      </c>
      <c r="D646" s="3">
        <v>45352.733657407407</v>
      </c>
      <c r="E646" s="2" t="s">
        <v>828</v>
      </c>
    </row>
    <row r="647" spans="1:5" ht="84" x14ac:dyDescent="0.2">
      <c r="A647" s="2" t="s">
        <v>91</v>
      </c>
      <c r="B647" s="2" t="str">
        <f>HYPERLINK("https://poststar.com/news/nation-world/yogurt-diabetes-fda-type-2/article_e9f14145-548d-5946-9a39-3dd016be3d4f.html")</f>
        <v>https://poststar.com/news/nation-world/yogurt-diabetes-fda-type-2/article_e9f14145-548d-5946-9a39-3dd016be3d4f.html</v>
      </c>
      <c r="C647" s="2" t="s">
        <v>2010</v>
      </c>
      <c r="D647" s="3">
        <v>45352.734340277777</v>
      </c>
      <c r="E647" s="2" t="s">
        <v>828</v>
      </c>
    </row>
    <row r="648" spans="1:5" ht="84" x14ac:dyDescent="0.2">
      <c r="A648" s="2" t="s">
        <v>91</v>
      </c>
      <c r="B648" s="2" t="str">
        <f>HYPERLINK("https://chippewa.com/news/nation-world/yogurt-diabetes-fda-type-2/article_488569bf-a78f-5548-ac2c-1a822c7d7191.html")</f>
        <v>https://chippewa.com/news/nation-world/yogurt-diabetes-fda-type-2/article_488569bf-a78f-5548-ac2c-1a822c7d7191.html</v>
      </c>
      <c r="C648" s="2" t="s">
        <v>1470</v>
      </c>
      <c r="D648" s="3">
        <v>45352.734803240739</v>
      </c>
      <c r="E648" s="2" t="s">
        <v>828</v>
      </c>
    </row>
    <row r="649" spans="1:5" ht="84" x14ac:dyDescent="0.2">
      <c r="A649" s="2" t="s">
        <v>91</v>
      </c>
      <c r="B649" s="2" t="str">
        <f>HYPERLINK("https://tucson.com/news/nation-world/yogurt-diabetes-fda-type-2/article_58df11a6-8692-52b6-8b8d-af6f1d584a97.html")</f>
        <v>https://tucson.com/news/nation-world/yogurt-diabetes-fda-type-2/article_58df11a6-8692-52b6-8b8d-af6f1d584a97.html</v>
      </c>
      <c r="C649" s="2" t="s">
        <v>2759</v>
      </c>
      <c r="D649" s="3">
        <v>45352.735185185193</v>
      </c>
      <c r="E649" s="2" t="s">
        <v>828</v>
      </c>
    </row>
    <row r="650" spans="1:5" ht="84" x14ac:dyDescent="0.2">
      <c r="A650" s="2" t="s">
        <v>91</v>
      </c>
      <c r="B650" s="2" t="str">
        <f>HYPERLINK("https://dailyprogress.com/news/nation-world/yogurt-diabetes-fda-type-2/article_87e4c4da-df85-5835-8b71-6ba6b28bdcaa.html")</f>
        <v>https://dailyprogress.com/news/nation-world/yogurt-diabetes-fda-type-2/article_87e4c4da-df85-5835-8b71-6ba6b28bdcaa.html</v>
      </c>
      <c r="C650" s="2" t="s">
        <v>2304</v>
      </c>
      <c r="D650" s="3">
        <v>45352.73537037037</v>
      </c>
      <c r="E650" s="2" t="s">
        <v>828</v>
      </c>
    </row>
    <row r="651" spans="1:5" ht="84" x14ac:dyDescent="0.2">
      <c r="A651" s="2" t="s">
        <v>91</v>
      </c>
      <c r="B651" s="2" t="str">
        <f>HYPERLINK("https://valleynewstoday.com/news/nation-world/yogurt-diabetes-fda-type-2/article_1e1ae2b0-ca64-5020-95b2-7a43fc6903d3.html")</f>
        <v>https://valleynewstoday.com/news/nation-world/yogurt-diabetes-fda-type-2/article_1e1ae2b0-ca64-5020-95b2-7a43fc6903d3.html</v>
      </c>
      <c r="C651" s="2" t="s">
        <v>873</v>
      </c>
      <c r="D651" s="3">
        <v>45352.735949074071</v>
      </c>
      <c r="E651" s="2" t="s">
        <v>828</v>
      </c>
    </row>
    <row r="652" spans="1:5" ht="84" x14ac:dyDescent="0.2">
      <c r="A652" s="2" t="s">
        <v>91</v>
      </c>
      <c r="B652" s="2" t="str">
        <f>HYPERLINK("https://muscatinejournal.com/news/nation-world/yogurt-diabetes-fda-type-2/article_bdf9b931-3725-5594-91bb-5f483d6dd4e2.html")</f>
        <v>https://muscatinejournal.com/news/nation-world/yogurt-diabetes-fda-type-2/article_bdf9b931-3725-5594-91bb-5f483d6dd4e2.html</v>
      </c>
      <c r="C652" s="2" t="s">
        <v>1016</v>
      </c>
      <c r="D652" s="3">
        <v>45352.736261574071</v>
      </c>
      <c r="E652" s="2" t="s">
        <v>828</v>
      </c>
    </row>
    <row r="653" spans="1:5" ht="84" x14ac:dyDescent="0.2">
      <c r="A653" s="2" t="s">
        <v>91</v>
      </c>
      <c r="B653" s="2" t="str">
        <f>HYPERLINK("https://dothaneagle.com/news/nation-world/yogurt-diabetes-fda-type-2/article_026f5a42-94b8-596a-8375-10e711b6829d.html")</f>
        <v>https://dothaneagle.com/news/nation-world/yogurt-diabetes-fda-type-2/article_026f5a42-94b8-596a-8375-10e711b6829d.html</v>
      </c>
      <c r="C653" s="2" t="s">
        <v>1618</v>
      </c>
      <c r="D653" s="3">
        <v>45352.736319444448</v>
      </c>
      <c r="E653" s="2" t="s">
        <v>828</v>
      </c>
    </row>
    <row r="654" spans="1:5" ht="84" x14ac:dyDescent="0.2">
      <c r="A654" s="2" t="s">
        <v>91</v>
      </c>
      <c r="B654" s="2" t="str">
        <f>HYPERLINK("https://heraldcourier.com/news/nation-world/yogurt-diabetes-fda-type-2/article_3762a94a-8c8e-5e2b-be47-00d4f41c9615.html")</f>
        <v>https://heraldcourier.com/news/nation-world/yogurt-diabetes-fda-type-2/article_3762a94a-8c8e-5e2b-be47-00d4f41c9615.html</v>
      </c>
      <c r="C654" s="2" t="s">
        <v>1813</v>
      </c>
      <c r="D654" s="3">
        <v>45352.736319444448</v>
      </c>
      <c r="E654" s="2" t="s">
        <v>828</v>
      </c>
    </row>
    <row r="655" spans="1:5" ht="84" x14ac:dyDescent="0.2">
      <c r="A655" s="2" t="s">
        <v>91</v>
      </c>
      <c r="B655" s="2" t="str">
        <f>HYPERLINK("https://elkodaily.com/news/nation-world/yogurt-diabetes-fda-type-2/article_b0414e1c-c0b3-5f02-a7aa-f1d5dedcdf1d.html")</f>
        <v>https://elkodaily.com/news/nation-world/yogurt-diabetes-fda-type-2/article_b0414e1c-c0b3-5f02-a7aa-f1d5dedcdf1d.html</v>
      </c>
      <c r="C655" s="2" t="s">
        <v>1732</v>
      </c>
      <c r="D655" s="3">
        <v>45352.737071759257</v>
      </c>
      <c r="E655" s="2" t="s">
        <v>828</v>
      </c>
    </row>
    <row r="656" spans="1:5" ht="84" x14ac:dyDescent="0.2">
      <c r="A656" s="2" t="s">
        <v>91</v>
      </c>
      <c r="B656" s="2" t="str">
        <f>HYPERLINK("https://www.nwitimes.com/news/nation-world/yogurt-diabetes-fda-type-2/article_59a3cb2c-c39e-5e05-98e2-d9fbdbb1aa82.html")</f>
        <v>https://www.nwitimes.com/news/nation-world/yogurt-diabetes-fda-type-2/article_59a3cb2c-c39e-5e05-98e2-d9fbdbb1aa82.html</v>
      </c>
      <c r="C656" s="2" t="s">
        <v>2454</v>
      </c>
      <c r="D656" s="3">
        <v>45352.737500000003</v>
      </c>
      <c r="E656" s="2" t="s">
        <v>828</v>
      </c>
    </row>
    <row r="657" spans="1:5" ht="84" x14ac:dyDescent="0.2">
      <c r="A657" s="2" t="s">
        <v>91</v>
      </c>
      <c r="B657" s="2" t="str">
        <f>HYPERLINK("https://democratherald.com/news/nation-world/yogurt-diabetes-fda-type-2/article_b3ce3a19-b25b-52b8-bd53-77a282dd7f23.html")</f>
        <v>https://democratherald.com/news/nation-world/yogurt-diabetes-fda-type-2/article_b3ce3a19-b25b-52b8-bd53-77a282dd7f23.html</v>
      </c>
      <c r="C657" s="2" t="s">
        <v>1590</v>
      </c>
      <c r="D657" s="3">
        <v>45352.737893518519</v>
      </c>
      <c r="E657" s="2" t="s">
        <v>828</v>
      </c>
    </row>
    <row r="658" spans="1:5" ht="84" x14ac:dyDescent="0.2">
      <c r="A658" s="2" t="s">
        <v>91</v>
      </c>
      <c r="B658" s="2" t="str">
        <f>HYPERLINK("https://journalnow.com/news/nation-world/yogurt-diabetes-fda-type-2/article_5a0f1598-970b-566d-a70e-be2437b94506.html")</f>
        <v>https://journalnow.com/news/nation-world/yogurt-diabetes-fda-type-2/article_5a0f1598-970b-566d-a70e-be2437b94506.html</v>
      </c>
      <c r="C658" s="2" t="s">
        <v>2298</v>
      </c>
      <c r="D658" s="3">
        <v>45352.737951388888</v>
      </c>
      <c r="E658" s="2" t="s">
        <v>828</v>
      </c>
    </row>
    <row r="659" spans="1:5" ht="84" x14ac:dyDescent="0.2">
      <c r="A659" s="2" t="s">
        <v>91</v>
      </c>
      <c r="B659" s="2" t="str">
        <f>HYPERLINK("https://auburnpub.com/news/nation-world/yogurt-diabetes-fda-type-2/article_27d84b0d-3846-5b58-b90a-e1c194ae8b2c.html")</f>
        <v>https://auburnpub.com/news/nation-world/yogurt-diabetes-fda-type-2/article_27d84b0d-3846-5b58-b90a-e1c194ae8b2c.html</v>
      </c>
      <c r="C659" s="2" t="s">
        <v>1909</v>
      </c>
      <c r="D659" s="3">
        <v>45352.738645833328</v>
      </c>
      <c r="E659" s="2" t="s">
        <v>828</v>
      </c>
    </row>
    <row r="660" spans="1:5" ht="84" x14ac:dyDescent="0.2">
      <c r="A660" s="2" t="s">
        <v>91</v>
      </c>
      <c r="B660" s="2" t="str">
        <f>HYPERLINK("https://nptelegraph.com/news/nation-world/yogurt-diabetes-fda-type-2/article_3b5637cd-6230-5096-beda-6eed665a12c1.html")</f>
        <v>https://nptelegraph.com/news/nation-world/yogurt-diabetes-fda-type-2/article_3b5637cd-6230-5096-beda-6eed665a12c1.html</v>
      </c>
      <c r="C660" s="2" t="s">
        <v>1533</v>
      </c>
      <c r="D660" s="3">
        <v>45352.73877314815</v>
      </c>
      <c r="E660" s="2" t="s">
        <v>828</v>
      </c>
    </row>
    <row r="661" spans="1:5" ht="112" x14ac:dyDescent="0.2">
      <c r="A661" s="2" t="s">
        <v>91</v>
      </c>
      <c r="B661" s="2" t="str">
        <f>HYPERLINK("https://kenoshanews.com/news/nation-world/yogurt-diabetes-fda-type-2/article_50b3dfa6-6b7f-5f6f-97e4-5c317e9c516c.html")</f>
        <v>https://kenoshanews.com/news/nation-world/yogurt-diabetes-fda-type-2/article_50b3dfa6-6b7f-5f6f-97e4-5c317e9c516c.html</v>
      </c>
      <c r="C661" s="2" t="s">
        <v>2129</v>
      </c>
      <c r="D661" s="3">
        <v>45352.738935185182</v>
      </c>
      <c r="E661" s="2" t="s">
        <v>2276</v>
      </c>
    </row>
    <row r="662" spans="1:5" ht="84" x14ac:dyDescent="0.2">
      <c r="A662" s="2" t="s">
        <v>91</v>
      </c>
      <c r="B662" s="2" t="str">
        <f>HYPERLINK("https://lakegenevanews.net/news/nation-world/yogurt-diabetes-fda-type-2/article_5b336671-272f-5143-825a-193e7aaa5def.html")</f>
        <v>https://lakegenevanews.net/news/nation-world/yogurt-diabetes-fda-type-2/article_5b336671-272f-5143-825a-193e7aaa5def.html</v>
      </c>
      <c r="C662" s="2" t="s">
        <v>1532</v>
      </c>
      <c r="D662" s="3">
        <v>45352.739004629628</v>
      </c>
      <c r="E662" s="2" t="s">
        <v>828</v>
      </c>
    </row>
    <row r="663" spans="1:5" ht="84" x14ac:dyDescent="0.2">
      <c r="A663" s="2" t="s">
        <v>91</v>
      </c>
      <c r="B663" s="2" t="str">
        <f>HYPERLINK("https://mooresvilletribune.com/news/nation-world/yogurt-diabetes-fda-type-2/article_dabf5e09-b084-56b9-b5c9-8bab2b98ac8c.html")</f>
        <v>https://mooresvilletribune.com/news/nation-world/yogurt-diabetes-fda-type-2/article_dabf5e09-b084-56b9-b5c9-8bab2b98ac8c.html</v>
      </c>
      <c r="C663" s="2" t="s">
        <v>1228</v>
      </c>
      <c r="D663" s="3">
        <v>45352.739189814813</v>
      </c>
      <c r="E663" s="2" t="s">
        <v>828</v>
      </c>
    </row>
    <row r="664" spans="1:5" ht="84" x14ac:dyDescent="0.2">
      <c r="A664" s="2" t="s">
        <v>91</v>
      </c>
      <c r="B664" s="2" t="str">
        <f>HYPERLINK("https://journalstar.com/news/nation-world/yogurt-diabetes-fda-type-2/article_be1b07a1-b10c-5009-a864-13f8ec1b04c3.html")</f>
        <v>https://journalstar.com/news/nation-world/yogurt-diabetes-fda-type-2/article_be1b07a1-b10c-5009-a864-13f8ec1b04c3.html</v>
      </c>
      <c r="C664" s="2" t="s">
        <v>2562</v>
      </c>
      <c r="D664" s="3">
        <v>45352.739212962973</v>
      </c>
      <c r="E664" s="2" t="s">
        <v>828</v>
      </c>
    </row>
    <row r="665" spans="1:5" ht="84" x14ac:dyDescent="0.2">
      <c r="A665" s="2" t="s">
        <v>91</v>
      </c>
      <c r="B665" s="2" t="str">
        <f>HYPERLINK("https://yorknewstimes.com/news/nation-world/yogurt-diabetes-fda-type-2/article_7a5f7657-5605-55d2-8c81-479fef39d80b.html")</f>
        <v>https://yorknewstimes.com/news/nation-world/yogurt-diabetes-fda-type-2/article_7a5f7657-5605-55d2-8c81-479fef39d80b.html</v>
      </c>
      <c r="C665" s="2" t="s">
        <v>1265</v>
      </c>
      <c r="D665" s="3">
        <v>45352.739270833343</v>
      </c>
      <c r="E665" s="2" t="s">
        <v>828</v>
      </c>
    </row>
    <row r="666" spans="1:5" ht="409.6" x14ac:dyDescent="0.2">
      <c r="A666" s="2" t="s">
        <v>91</v>
      </c>
      <c r="B666" s="2" t="str">
        <f>HYPERLINK("https://helenair.com/news/nation-world/yogurt-diabetes-fda-type-2/article_0076a225-963b-57a9-b5de-66bbe04b052e.html")</f>
        <v>https://helenair.com/news/nation-world/yogurt-diabetes-fda-type-2/article_0076a225-963b-57a9-b5de-66bbe04b052e.html</v>
      </c>
      <c r="C666" s="2" t="s">
        <v>2099</v>
      </c>
      <c r="D666" s="3">
        <v>45352.739351851851</v>
      </c>
      <c r="E666" s="2" t="s">
        <v>2100</v>
      </c>
    </row>
    <row r="667" spans="1:5" ht="84" x14ac:dyDescent="0.2">
      <c r="A667" s="2" t="s">
        <v>91</v>
      </c>
      <c r="B667" s="2" t="str">
        <f>HYPERLINK("https://swvatoday.com/news/nation-world/article_53c7965a-6de3-5f76-9ef3-b12366150b55.html")</f>
        <v>https://swvatoday.com/news/nation-world/article_53c7965a-6de3-5f76-9ef3-b12366150b55.html</v>
      </c>
      <c r="C667" s="2" t="s">
        <v>1307</v>
      </c>
      <c r="D667" s="3">
        <v>45352.73940972222</v>
      </c>
      <c r="E667" s="2" t="s">
        <v>828</v>
      </c>
    </row>
    <row r="668" spans="1:5" ht="84" x14ac:dyDescent="0.2">
      <c r="A668" s="2" t="s">
        <v>91</v>
      </c>
      <c r="B668" s="2" t="str">
        <f>HYPERLINK("https://cumberlink.com/news/nation-world/yogurt-diabetes-fda-type-2/article_f506f2c8-9a35-5f2f-b0ff-4d007f8d9b5a.html")</f>
        <v>https://cumberlink.com/news/nation-world/yogurt-diabetes-fda-type-2/article_f506f2c8-9a35-5f2f-b0ff-4d007f8d9b5a.html</v>
      </c>
      <c r="C668" s="2" t="s">
        <v>1468</v>
      </c>
      <c r="D668" s="3">
        <v>45352.73946759259</v>
      </c>
      <c r="E668" s="2" t="s">
        <v>828</v>
      </c>
    </row>
    <row r="669" spans="1:5" ht="84" x14ac:dyDescent="0.2">
      <c r="A669" s="2" t="s">
        <v>91</v>
      </c>
      <c r="B669" s="2" t="str">
        <f>HYPERLINK("https://napavalleyregister.com/news/nation-world/yogurt-diabetes-fda-type-2/article_cbb00248-33f8-57d3-b25f-7b37ea33211d.html")</f>
        <v>https://napavalleyregister.com/news/nation-world/yogurt-diabetes-fda-type-2/article_cbb00248-33f8-57d3-b25f-7b37ea33211d.html</v>
      </c>
      <c r="C669" s="2" t="s">
        <v>1994</v>
      </c>
      <c r="D669" s="3">
        <v>45352.739664351851</v>
      </c>
      <c r="E669" s="2" t="s">
        <v>828</v>
      </c>
    </row>
    <row r="670" spans="1:5" ht="84" x14ac:dyDescent="0.2">
      <c r="A670" s="2" t="s">
        <v>91</v>
      </c>
      <c r="B670" s="2" t="str">
        <f>HYPERLINK("https://pantagraph.com/news/nation-world/yogurt-diabetes-fda-type-2/article_739f03be-b54e-5536-aecd-7bb5204c1e37.html")</f>
        <v>https://pantagraph.com/news/nation-world/yogurt-diabetes-fda-type-2/article_739f03be-b54e-5536-aecd-7bb5204c1e37.html</v>
      </c>
      <c r="C670" s="2" t="s">
        <v>2103</v>
      </c>
      <c r="D670" s="3">
        <v>45352.739699074067</v>
      </c>
      <c r="E670" s="2" t="s">
        <v>828</v>
      </c>
    </row>
    <row r="671" spans="1:5" ht="84" x14ac:dyDescent="0.2">
      <c r="A671" s="2" t="s">
        <v>91</v>
      </c>
      <c r="B671" s="2" t="str">
        <f>HYPERLINK("https://mtstandard.com/news/nation-world/yogurt-diabetes-fda-type-2/article_0ebc3385-7925-5b33-a306-0b0b01314e0e.html")</f>
        <v>https://mtstandard.com/news/nation-world/yogurt-diabetes-fda-type-2/article_0ebc3385-7925-5b33-a306-0b0b01314e0e.html</v>
      </c>
      <c r="C671" s="2" t="s">
        <v>1779</v>
      </c>
      <c r="D671" s="3">
        <v>45352.740324074082</v>
      </c>
      <c r="E671" s="2" t="s">
        <v>828</v>
      </c>
    </row>
    <row r="672" spans="1:5" ht="84" x14ac:dyDescent="0.2">
      <c r="A672" s="2" t="s">
        <v>91</v>
      </c>
      <c r="B672" s="2" t="str">
        <f>HYPERLINK("https://qconline.com/news/nation-world/yogurt-diabetes-fda-type-2/article_a51756f2-767d-5ea7-bd4a-ddaf8032435b.html")</f>
        <v>https://qconline.com/news/nation-world/yogurt-diabetes-fda-type-2/article_a51756f2-767d-5ea7-bd4a-ddaf8032435b.html</v>
      </c>
      <c r="C672" s="2" t="s">
        <v>1977</v>
      </c>
      <c r="D672" s="3">
        <v>45352.74119212963</v>
      </c>
      <c r="E672" s="2" t="s">
        <v>828</v>
      </c>
    </row>
    <row r="673" spans="1:5" ht="409.6" x14ac:dyDescent="0.2">
      <c r="A673" s="2" t="s">
        <v>91</v>
      </c>
      <c r="B673" s="2" t="str">
        <f>HYPERLINK("https://rapidcityjournal.com/news/nation-world/yogurt-diabetes-fda-type-2/article_23103dbc-494f-5749-94d9-226b6c3d06a4.html")</f>
        <v>https://rapidcityjournal.com/news/nation-world/yogurt-diabetes-fda-type-2/article_23103dbc-494f-5749-94d9-226b6c3d06a4.html</v>
      </c>
      <c r="C673" s="2" t="s">
        <v>2054</v>
      </c>
      <c r="D673" s="3">
        <v>45352.742025462961</v>
      </c>
      <c r="E673" s="2" t="s">
        <v>2111</v>
      </c>
    </row>
    <row r="674" spans="1:5" ht="84" x14ac:dyDescent="0.2">
      <c r="A674" s="2" t="s">
        <v>91</v>
      </c>
      <c r="B674" s="2" t="str">
        <f>HYPERLINK("https://hickoryrecord.com/news/nation-world/yogurt-diabetes-fda-type-2/article_aa1688da-bebe-5e21-9cc7-69832b588724.html")</f>
        <v>https://hickoryrecord.com/news/nation-world/yogurt-diabetes-fda-type-2/article_aa1688da-bebe-5e21-9cc7-69832b588724.html</v>
      </c>
      <c r="C674" s="2" t="s">
        <v>1913</v>
      </c>
      <c r="D674" s="3">
        <v>45352.742523148147</v>
      </c>
      <c r="E674" s="2" t="s">
        <v>828</v>
      </c>
    </row>
    <row r="675" spans="1:5" ht="84" x14ac:dyDescent="0.2">
      <c r="A675" s="2" t="s">
        <v>91</v>
      </c>
      <c r="B675" s="2" t="str">
        <f>HYPERLINK("https://tdn.com/news/nation-world/yogurt-diabetes-fda-type-2/article_736bfc98-6919-57f4-8099-adcdd2a05fa0.html")</f>
        <v>https://tdn.com/news/nation-world/yogurt-diabetes-fda-type-2/article_736bfc98-6919-57f4-8099-adcdd2a05fa0.html</v>
      </c>
      <c r="C675" s="2" t="s">
        <v>2086</v>
      </c>
      <c r="D675" s="3">
        <v>45352.742685185192</v>
      </c>
      <c r="E675" s="2" t="s">
        <v>828</v>
      </c>
    </row>
    <row r="676" spans="1:5" ht="84" x14ac:dyDescent="0.2">
      <c r="A676" s="2" t="s">
        <v>91</v>
      </c>
      <c r="B676" s="2" t="str">
        <f>HYPERLINK("https://wcfcourier.com/news/nation-world/yogurt-diabetes-fda-type-2/article_ed4bb168-79ca-5aed-8117-1318b82e9760.html")</f>
        <v>https://wcfcourier.com/news/nation-world/yogurt-diabetes-fda-type-2/article_ed4bb168-79ca-5aed-8117-1318b82e9760.html</v>
      </c>
      <c r="C676" s="2" t="s">
        <v>2095</v>
      </c>
      <c r="D676" s="3">
        <v>45352.742719907408</v>
      </c>
      <c r="E676" s="2" t="s">
        <v>828</v>
      </c>
    </row>
    <row r="677" spans="1:5" ht="84" x14ac:dyDescent="0.2">
      <c r="A677" s="2" t="s">
        <v>91</v>
      </c>
      <c r="B677" s="2" t="str">
        <f>HYPERLINK("https://magicvalley.com/news/nation-world/yogurt-diabetes-fda-type-2/article_3ea29bdf-384e-514b-af11-a7e4f498a000.html")</f>
        <v>https://magicvalley.com/news/nation-world/yogurt-diabetes-fda-type-2/article_3ea29bdf-384e-514b-af11-a7e4f498a000.html</v>
      </c>
      <c r="C677" s="2" t="s">
        <v>1789</v>
      </c>
      <c r="D677" s="3">
        <v>45352.742789351847</v>
      </c>
      <c r="E677" s="2" t="s">
        <v>828</v>
      </c>
    </row>
    <row r="678" spans="1:5" ht="84" x14ac:dyDescent="0.2">
      <c r="A678" s="2" t="s">
        <v>91</v>
      </c>
      <c r="B678" s="2" t="str">
        <f>HYPERLINK("https://fredericksburg.com/news/nation-world/yogurt-diabetes-fda-type-2/article_e5a799eb-998e-54dd-b167-151878263f29.html")</f>
        <v>https://fredericksburg.com/news/nation-world/yogurt-diabetes-fda-type-2/article_e5a799eb-998e-54dd-b167-151878263f29.html</v>
      </c>
      <c r="C678" s="2" t="s">
        <v>1938</v>
      </c>
      <c r="D678" s="3">
        <v>45352.743263888893</v>
      </c>
      <c r="E678" s="2" t="s">
        <v>828</v>
      </c>
    </row>
    <row r="679" spans="1:5" ht="84" x14ac:dyDescent="0.2">
      <c r="A679" s="2" t="s">
        <v>91</v>
      </c>
      <c r="B679" s="2" t="str">
        <f>HYPERLINK("https://globegazette.com/news/nation-world/yogurt-diabetes-fda-type-2/article_2c4f04a0-04ea-5f83-a908-4a597a8f77b7.html")</f>
        <v>https://globegazette.com/news/nation-world/yogurt-diabetes-fda-type-2/article_2c4f04a0-04ea-5f83-a908-4a597a8f77b7.html</v>
      </c>
      <c r="C679" s="2" t="s">
        <v>1911</v>
      </c>
      <c r="D679" s="3">
        <v>45352.743518518517</v>
      </c>
      <c r="E679" s="2" t="s">
        <v>828</v>
      </c>
    </row>
    <row r="680" spans="1:5" ht="84" x14ac:dyDescent="0.2">
      <c r="A680" s="2" t="s">
        <v>91</v>
      </c>
      <c r="B680" s="2" t="str">
        <f>HYPERLINK("https://theindependent.com/news/nation-world/yogurt-diabetes-fda-type-2/article_f7bcf38a-b6e3-5d3a-98c2-730fd7add868.html")</f>
        <v>https://theindependent.com/news/nation-world/yogurt-diabetes-fda-type-2/article_f7bcf38a-b6e3-5d3a-98c2-730fd7add868.html</v>
      </c>
      <c r="C680" s="2" t="s">
        <v>1864</v>
      </c>
      <c r="D680" s="3">
        <v>45352.743784722217</v>
      </c>
      <c r="E680" s="2" t="s">
        <v>828</v>
      </c>
    </row>
    <row r="681" spans="1:5" ht="84" x14ac:dyDescent="0.2">
      <c r="A681" s="2" t="s">
        <v>91</v>
      </c>
      <c r="B681" s="2" t="str">
        <f>HYPERLINK("https://independenttribune.com/news/nation-world/yogurt-diabetes-fda-type-2/article_81f9dc9d-93dc-5578-9223-cb716320de73.html")</f>
        <v>https://independenttribune.com/news/nation-world/yogurt-diabetes-fda-type-2/article_81f9dc9d-93dc-5578-9223-cb716320de73.html</v>
      </c>
      <c r="C681" s="2" t="s">
        <v>1375</v>
      </c>
      <c r="D681" s="3">
        <v>45352.744189814817</v>
      </c>
      <c r="E681" s="2" t="s">
        <v>828</v>
      </c>
    </row>
    <row r="682" spans="1:5" ht="84" x14ac:dyDescent="0.2">
      <c r="A682" s="2" t="s">
        <v>91</v>
      </c>
      <c r="B682" s="2" t="str">
        <f>HYPERLINK("https://lexch.com/news/nation-world/yogurt-diabetes-fda-type-2/article_071524fe-2775-52e7-9158-a25501cff30b.html")</f>
        <v>https://lexch.com/news/nation-world/yogurt-diabetes-fda-type-2/article_071524fe-2775-52e7-9158-a25501cff30b.html</v>
      </c>
      <c r="C682" s="2" t="s">
        <v>878</v>
      </c>
      <c r="D682" s="3">
        <v>45352.744629629633</v>
      </c>
      <c r="E682" s="2" t="s">
        <v>828</v>
      </c>
    </row>
    <row r="683" spans="1:5" ht="84" x14ac:dyDescent="0.2">
      <c r="A683" s="2" t="s">
        <v>91</v>
      </c>
      <c r="B683" s="2" t="str">
        <f>HYPERLINK("https://siouxcityjournal.com/news/nation-world/yogurt-diabetes-fda-type-2/article_60fbe6c0-78af-577d-8318-20cbc88aabfa.html")</f>
        <v>https://siouxcityjournal.com/news/nation-world/yogurt-diabetes-fda-type-2/article_60fbe6c0-78af-577d-8318-20cbc88aabfa.html</v>
      </c>
      <c r="C683" s="2" t="s">
        <v>2077</v>
      </c>
      <c r="D683" s="3">
        <v>45352.746307870373</v>
      </c>
      <c r="E683" s="2" t="s">
        <v>828</v>
      </c>
    </row>
    <row r="684" spans="1:5" ht="84" x14ac:dyDescent="0.2">
      <c r="A684" s="2" t="s">
        <v>91</v>
      </c>
      <c r="B684" s="2" t="str">
        <f>HYPERLINK("https://dbrnews.com/news/yogurt-diabetes-fda-type-2/article_7753ee04-115a-538b-ae94-8b03ebecc428.html")</f>
        <v>https://dbrnews.com/news/yogurt-diabetes-fda-type-2/article_7753ee04-115a-538b-ae94-8b03ebecc428.html</v>
      </c>
      <c r="C684" s="2" t="s">
        <v>591</v>
      </c>
      <c r="D684" s="3">
        <v>45352.750752314823</v>
      </c>
      <c r="E684" s="2" t="s">
        <v>828</v>
      </c>
    </row>
    <row r="685" spans="1:5" ht="56" x14ac:dyDescent="0.2">
      <c r="A685" s="2" t="s">
        <v>91</v>
      </c>
      <c r="B685" s="2" t="str">
        <f>HYPERLINK("https://www.wfxrtv.com/news/national/ap-yogurts-can-make-limited-claim-that-the-food-reduces-risk-of-type-2-diabetes-fda-says/")</f>
        <v>https://www.wfxrtv.com/news/national/ap-yogurts-can-make-limited-claim-that-the-food-reduces-risk-of-type-2-diabetes-fda-says/</v>
      </c>
      <c r="C685" s="2" t="s">
        <v>2279</v>
      </c>
      <c r="D685" s="3">
        <v>45352.757071759261</v>
      </c>
      <c r="E685" s="2" t="s">
        <v>549</v>
      </c>
    </row>
    <row r="686" spans="1:5" ht="84" x14ac:dyDescent="0.2">
      <c r="A686" s="2" t="s">
        <v>91</v>
      </c>
      <c r="B686" s="2" t="str">
        <f>HYPERLINK("https://billingsgazette.com/news/nation-world/yogurt-diabetes-fda-type-2/article_595853dc-a67e-587e-b0de-cf359e63e3a8.html")</f>
        <v>https://billingsgazette.com/news/nation-world/yogurt-diabetes-fda-type-2/article_595853dc-a67e-587e-b0de-cf359e63e3a8.html</v>
      </c>
      <c r="C686" s="2" t="s">
        <v>2296</v>
      </c>
      <c r="D686" s="3">
        <v>45352.761736111112</v>
      </c>
      <c r="E686" s="2" t="s">
        <v>828</v>
      </c>
    </row>
    <row r="687" spans="1:5" ht="84" x14ac:dyDescent="0.2">
      <c r="A687" s="2" t="s">
        <v>91</v>
      </c>
      <c r="B687" s="2" t="str">
        <f>HYPERLINK("https://wahoo-ashland-waverly.com/news/nation-world/yogurt-diabetes-fda-type-2/article_fd1b8fa9-c264-5397-9d54-bf63a9d0169a.html")</f>
        <v>https://wahoo-ashland-waverly.com/news/nation-world/yogurt-diabetes-fda-type-2/article_fd1b8fa9-c264-5397-9d54-bf63a9d0169a.html</v>
      </c>
      <c r="C687" s="2" t="s">
        <v>697</v>
      </c>
      <c r="D687" s="3">
        <v>45352.764837962961</v>
      </c>
      <c r="E687" s="2" t="s">
        <v>828</v>
      </c>
    </row>
    <row r="688" spans="1:5" ht="84" x14ac:dyDescent="0.2">
      <c r="A688" s="2" t="s">
        <v>91</v>
      </c>
      <c r="B688" s="2" t="str">
        <f>HYPERLINK("https://herald-review.com/news/nation-world/yogurt-diabetes-fda-type-2/article_7baa601f-c58e-5846-a676-15b57ac7e3c2.html")</f>
        <v>https://herald-review.com/news/nation-world/yogurt-diabetes-fda-type-2/article_7baa601f-c58e-5846-a676-15b57ac7e3c2.html</v>
      </c>
      <c r="C688" s="2" t="s">
        <v>1657</v>
      </c>
      <c r="D688" s="3">
        <v>45352.766435185193</v>
      </c>
      <c r="E688" s="2" t="s">
        <v>828</v>
      </c>
    </row>
    <row r="689" spans="1:5" ht="56" x14ac:dyDescent="0.2">
      <c r="A689" s="2" t="s">
        <v>91</v>
      </c>
      <c r="B689" s="2" t="str">
        <f>HYPERLINK("https://theeagle.com/news/nation-world/yogurt-diabetes-fda-type-2/article_fcade4be-c9b6-5343-b268-eb911e4f34a3.html")</f>
        <v>https://theeagle.com/news/nation-world/yogurt-diabetes-fda-type-2/article_fcade4be-c9b6-5343-b268-eb911e4f34a3.html</v>
      </c>
      <c r="C689" s="2" t="s">
        <v>1987</v>
      </c>
      <c r="D689" s="3">
        <v>45352.770891203712</v>
      </c>
      <c r="E689" s="2" t="s">
        <v>70</v>
      </c>
    </row>
    <row r="690" spans="1:5" ht="84" x14ac:dyDescent="0.2">
      <c r="A690" s="2" t="s">
        <v>91</v>
      </c>
      <c r="B690" s="2" t="str">
        <f>HYPERLINK("https://buffalonews.com/news/nation-world/yogurt-diabetes-fda-type-2/article_4fd8bea1-0c2a-56aa-99db-f47b20fc6394.html")</f>
        <v>https://buffalonews.com/news/nation-world/yogurt-diabetes-fda-type-2/article_4fd8bea1-0c2a-56aa-99db-f47b20fc6394.html</v>
      </c>
      <c r="C690" s="2" t="s">
        <v>2725</v>
      </c>
      <c r="D690" s="3">
        <v>45352.774224537039</v>
      </c>
      <c r="E690" s="2" t="s">
        <v>828</v>
      </c>
    </row>
    <row r="691" spans="1:5" ht="84" x14ac:dyDescent="0.2">
      <c r="A691" s="2" t="s">
        <v>91</v>
      </c>
      <c r="B691" s="2" t="str">
        <f>HYPERLINK("https://qctimes.com/news/nation-world/yogurt-diabetes-fda-type-2/article_24bbe9d1-4086-5963-8508-23c41d71efba.html")</f>
        <v>https://qctimes.com/news/nation-world/yogurt-diabetes-fda-type-2/article_24bbe9d1-4086-5963-8508-23c41d71efba.html</v>
      </c>
      <c r="C691" s="2" t="s">
        <v>2322</v>
      </c>
      <c r="D691" s="3">
        <v>45352.789201388892</v>
      </c>
      <c r="E691" s="2" t="s">
        <v>828</v>
      </c>
    </row>
    <row r="692" spans="1:5" ht="84" x14ac:dyDescent="0.2">
      <c r="A692" s="2" t="s">
        <v>91</v>
      </c>
      <c r="B692" s="2" t="str">
        <f>HYPERLINK("https://greensboro.com/news/nation-world/yogurt-diabetes-fda-type-2/article_a5a91f1c-0874-5dbb-bab0-25b422b80d77.html")</f>
        <v>https://greensboro.com/news/nation-world/yogurt-diabetes-fda-type-2/article_a5a91f1c-0874-5dbb-bab0-25b422b80d77.html</v>
      </c>
      <c r="C692" s="2" t="s">
        <v>2313</v>
      </c>
      <c r="D692" s="3">
        <v>45352.792592592603</v>
      </c>
      <c r="E692" s="2" t="s">
        <v>1237</v>
      </c>
    </row>
    <row r="693" spans="1:5" ht="98" x14ac:dyDescent="0.2">
      <c r="A693" s="2" t="s">
        <v>826</v>
      </c>
      <c r="B693" s="2" t="str">
        <f>HYPERLINK("https://ca.style.yahoo.com/yogurts-now-limited-claim-lower-212049242.html")</f>
        <v>https://ca.style.yahoo.com/yogurts-now-limited-claim-lower-212049242.html</v>
      </c>
      <c r="C693" s="2" t="s">
        <v>2813</v>
      </c>
      <c r="D693" s="3">
        <v>45352.818449074082</v>
      </c>
      <c r="E693" s="2" t="s">
        <v>378</v>
      </c>
    </row>
    <row r="694" spans="1:5" ht="98" x14ac:dyDescent="0.2">
      <c r="A694" s="2" t="s">
        <v>826</v>
      </c>
      <c r="B694" s="2" t="str">
        <f>HYPERLINK("https://sg.news.yahoo.com/yogurts-now-limited-claim-lower-212049242.html")</f>
        <v>https://sg.news.yahoo.com/yogurts-now-limited-claim-lower-212049242.html</v>
      </c>
      <c r="C694" s="2" t="s">
        <v>3120</v>
      </c>
      <c r="D694" s="3">
        <v>45352.818449074082</v>
      </c>
      <c r="E694" s="2" t="s">
        <v>2530</v>
      </c>
    </row>
    <row r="695" spans="1:5" ht="98" x14ac:dyDescent="0.2">
      <c r="A695" s="2" t="s">
        <v>826</v>
      </c>
      <c r="B695" s="2" t="str">
        <f>HYPERLINK("https://ca.news.yahoo.com/yogurts-now-limited-claim-lower-212049242.html")</f>
        <v>https://ca.news.yahoo.com/yogurts-now-limited-claim-lower-212049242.html</v>
      </c>
      <c r="C695" s="2" t="s">
        <v>3097</v>
      </c>
      <c r="D695" s="3">
        <v>45352.818449074082</v>
      </c>
      <c r="E695" s="2" t="s">
        <v>378</v>
      </c>
    </row>
    <row r="696" spans="1:5" ht="84" x14ac:dyDescent="0.2">
      <c r="A696" s="2" t="s">
        <v>91</v>
      </c>
      <c r="B696" s="2" t="str">
        <f>HYPERLINK("https://fremonttribune.com/news/nation-world/yogurt-diabetes-fda-type-2/article_ae69a22c-9c30-524b-8adb-ea2262a617da.html")</f>
        <v>https://fremonttribune.com/news/nation-world/yogurt-diabetes-fda-type-2/article_ae69a22c-9c30-524b-8adb-ea2262a617da.html</v>
      </c>
      <c r="C696" s="2" t="s">
        <v>1437</v>
      </c>
      <c r="D696" s="3">
        <v>45352.820462962962</v>
      </c>
      <c r="E696" s="2" t="s">
        <v>828</v>
      </c>
    </row>
    <row r="697" spans="1:5" ht="84" x14ac:dyDescent="0.2">
      <c r="A697" s="2" t="s">
        <v>2808</v>
      </c>
      <c r="B697" s="2" t="str">
        <f>HYPERLINK("https://cnalifestyle.channelnewsasia.com/wellness/yoghurts-can-make-limited-claim-food-reduces-risk-type-2-diabetes-fda-says-386076")</f>
        <v>https://cnalifestyle.channelnewsasia.com/wellness/yoghurts-can-make-limited-claim-food-reduces-risk-type-2-diabetes-fda-says-386076</v>
      </c>
      <c r="C697" s="2" t="s">
        <v>2804</v>
      </c>
      <c r="D697" s="3">
        <v>45352.821898148148</v>
      </c>
      <c r="E697" s="2" t="s">
        <v>2809</v>
      </c>
    </row>
    <row r="698" spans="1:5" ht="84" x14ac:dyDescent="0.2">
      <c r="A698" s="2" t="s">
        <v>2808</v>
      </c>
      <c r="B698" s="2" t="str">
        <f>HYPERLINK("https://zbout.com/yoghurts-can-make-limited-claim-that-the-food-reduces-risk-of-type-2-diabetes-fda-says/")</f>
        <v>https://zbout.com/yoghurts-can-make-limited-claim-that-the-food-reduces-risk-of-type-2-diabetes-fda-says/</v>
      </c>
      <c r="C698" s="2" t="s">
        <v>4027</v>
      </c>
      <c r="D698" s="3">
        <v>45352.824965277781</v>
      </c>
      <c r="E698" s="2" t="s">
        <v>4028</v>
      </c>
    </row>
    <row r="699" spans="1:5" ht="84" x14ac:dyDescent="0.2">
      <c r="A699" s="2" t="s">
        <v>2808</v>
      </c>
      <c r="B699" s="2" t="str">
        <f>HYPERLINK("https://www.redhot.sg/yoghurts-can-make-limited-claim-that-the-food-reduces-risk-of-type-2-diabetes-fda-says-375857.html")</f>
        <v>https://www.redhot.sg/yoghurts-can-make-limited-claim-that-the-food-reduces-risk-of-type-2-diabetes-fda-says-375857.html</v>
      </c>
      <c r="C699" s="2" t="s">
        <v>3766</v>
      </c>
      <c r="D699" s="3">
        <v>45352.825462962966</v>
      </c>
      <c r="E699" s="2" t="s">
        <v>2809</v>
      </c>
    </row>
    <row r="700" spans="1:5" ht="56" x14ac:dyDescent="0.2">
      <c r="A700" s="2" t="s">
        <v>430</v>
      </c>
      <c r="B700" s="2" t="str">
        <f>HYPERLINK("https://www.nach-welt.com/laut-fda-kann-joghurt-nur-begrenzt-den-anspruch-erheben-das-risiko-fur-typ-2-diabetes-zu-senken/")</f>
        <v>https://www.nach-welt.com/laut-fda-kann-joghurt-nur-begrenzt-den-anspruch-erheben-das-risiko-fur-typ-2-diabetes-zu-senken/</v>
      </c>
      <c r="C700" s="2" t="s">
        <v>431</v>
      </c>
      <c r="D700" s="3">
        <v>45352.83085648148</v>
      </c>
      <c r="E700" s="2" t="s">
        <v>432</v>
      </c>
    </row>
    <row r="701" spans="1:5" ht="56" x14ac:dyDescent="0.2">
      <c r="A701" s="2" t="s">
        <v>1032</v>
      </c>
      <c r="B701" s="2" t="str">
        <f>HYPERLINK("https://news.eseuro.com/trends/3248726.html")</f>
        <v>https://news.eseuro.com/trends/3248726.html</v>
      </c>
      <c r="C701" s="2" t="s">
        <v>1031</v>
      </c>
      <c r="D701" s="3">
        <v>45352.832743055558</v>
      </c>
      <c r="E701" s="2" t="s">
        <v>459</v>
      </c>
    </row>
    <row r="702" spans="1:5" ht="84" x14ac:dyDescent="0.2">
      <c r="A702" s="2" t="s">
        <v>91</v>
      </c>
      <c r="B702" s="2" t="str">
        <f>HYPERLINK("https://www.stltoday.com/news/nation-world/yogurt-diabetes-fda-type-2/article_329f78de-c4cd-5cfa-b4b6-888c7c59df3f.html")</f>
        <v>https://www.stltoday.com/news/nation-world/yogurt-diabetes-fda-type-2/article_329f78de-c4cd-5cfa-b4b6-888c7c59df3f.html</v>
      </c>
      <c r="C702" s="2" t="s">
        <v>2877</v>
      </c>
      <c r="D702" s="3">
        <v>45352.83321759259</v>
      </c>
      <c r="E702" s="2" t="s">
        <v>828</v>
      </c>
    </row>
    <row r="703" spans="1:5" ht="84" x14ac:dyDescent="0.2">
      <c r="A703" s="2" t="s">
        <v>91</v>
      </c>
      <c r="B703" s="2" t="str">
        <f>HYPERLINK("https://newsadvance.com/news/nation-world/yogurt-diabetes-fda-type-2/article_f1cb181b-7e89-5e1c-b6db-29a8ef9b4557.html")</f>
        <v>https://newsadvance.com/news/nation-world/yogurt-diabetes-fda-type-2/article_f1cb181b-7e89-5e1c-b6db-29a8ef9b4557.html</v>
      </c>
      <c r="C703" s="2" t="s">
        <v>1863</v>
      </c>
      <c r="D703" s="3">
        <v>45352.841435185182</v>
      </c>
      <c r="E703" s="2" t="s">
        <v>828</v>
      </c>
    </row>
    <row r="704" spans="1:5" ht="98" x14ac:dyDescent="0.2">
      <c r="A704" s="2" t="s">
        <v>639</v>
      </c>
      <c r="B704" s="2" t="str">
        <f>HYPERLINK("https://newsbeezer.com/according-to-the-fda-yogurts-claims-to-reduce-the-risk-of-type-2-diabetes-are-limited/")</f>
        <v>https://newsbeezer.com/according-to-the-fda-yogurts-claims-to-reduce-the-risk-of-type-2-diabetes-are-limited/</v>
      </c>
      <c r="C704" s="2" t="s">
        <v>629</v>
      </c>
      <c r="D704" s="3">
        <v>45352.854675925933</v>
      </c>
      <c r="E704" s="2" t="s">
        <v>640</v>
      </c>
    </row>
    <row r="705" spans="1:5" ht="56" x14ac:dyDescent="0.2">
      <c r="A705" s="2" t="s">
        <v>57</v>
      </c>
      <c r="B705" s="2" t="str">
        <f>HYPERLINK("https://bitebi.com/weekend-reading-the-ironies-of-drinking-fluid-milk/")</f>
        <v>https://bitebi.com/weekend-reading-the-ironies-of-drinking-fluid-milk/</v>
      </c>
      <c r="C705" s="2" t="s">
        <v>15</v>
      </c>
      <c r="D705" s="3">
        <v>45352.857812499999</v>
      </c>
      <c r="E705" s="2" t="s">
        <v>58</v>
      </c>
    </row>
    <row r="706" spans="1:5" ht="98" x14ac:dyDescent="0.2">
      <c r="A706" s="2" t="s">
        <v>836</v>
      </c>
      <c r="B706" s="2" t="str">
        <f>HYPERLINK("https://biz.crast.net/fda-says-yogurt-may-make-limited-claims-about-reducing-risk-of-type-2-diabetes-cnn/")</f>
        <v>https://biz.crast.net/fda-says-yogurt-may-make-limited-claims-about-reducing-risk-of-type-2-diabetes-cnn/</v>
      </c>
      <c r="C706" s="2" t="s">
        <v>837</v>
      </c>
      <c r="D706" s="3">
        <v>45352.858217592591</v>
      </c>
      <c r="E706" s="2" t="s">
        <v>838</v>
      </c>
    </row>
    <row r="707" spans="1:5" ht="84" x14ac:dyDescent="0.2">
      <c r="A707" s="2" t="s">
        <v>91</v>
      </c>
      <c r="B707" s="2" t="str">
        <f>HYPERLINK("https://godanriver.com/news/nation-world/yogurt-diabetes-fda-type-2/article_e53b3771-fbce-5548-8ce2-6e1012c450fe.html")</f>
        <v>https://godanriver.com/news/nation-world/yogurt-diabetes-fda-type-2/article_e53b3771-fbce-5548-8ce2-6e1012c450fe.html</v>
      </c>
      <c r="C707" s="2" t="s">
        <v>1362</v>
      </c>
      <c r="D707" s="3">
        <v>45352.861064814817</v>
      </c>
      <c r="E707" s="2" t="s">
        <v>828</v>
      </c>
    </row>
    <row r="708" spans="1:5" ht="84" x14ac:dyDescent="0.2">
      <c r="A708" s="2" t="s">
        <v>4040</v>
      </c>
      <c r="B708" s="2" t="str">
        <f>HYPERLINK("https://majalahtime.com/yogurt-kini-dapat-diklaim-dapat-mengurangi-risiko-diabetes/")</f>
        <v>https://majalahtime.com/yogurt-kini-dapat-diklaim-dapat-mengurangi-risiko-diabetes/</v>
      </c>
      <c r="C708" s="2" t="s">
        <v>4041</v>
      </c>
      <c r="D708" s="3">
        <v>45352.863495370373</v>
      </c>
      <c r="E708" s="2" t="s">
        <v>4042</v>
      </c>
    </row>
    <row r="709" spans="1:5" ht="126" x14ac:dyDescent="0.2">
      <c r="A709" s="2" t="s">
        <v>8</v>
      </c>
      <c r="B709" s="2" t="str">
        <f>HYPERLINK("https://newsnetdaily.com/yogurt-may-have-limited-claim-to-reduce-risk-of-type-2-diabetes-fda-says/")</f>
        <v>https://newsnetdaily.com/yogurt-may-have-limited-claim-to-reduce-risk-of-type-2-diabetes-fda-says/</v>
      </c>
      <c r="C709" s="2" t="s">
        <v>6</v>
      </c>
      <c r="D709" s="3">
        <v>45352.86414351852</v>
      </c>
      <c r="E709" s="2" t="s">
        <v>9</v>
      </c>
    </row>
    <row r="710" spans="1:5" ht="84" x14ac:dyDescent="0.2">
      <c r="A710" s="2" t="s">
        <v>83</v>
      </c>
      <c r="B710" s="2" t="str">
        <f>HYPERLINK("https://time.com/6837161/yogurt-diabetes-risk/")</f>
        <v>https://time.com/6837161/yogurt-diabetes-risk/</v>
      </c>
      <c r="C710" s="2" t="s">
        <v>3458</v>
      </c>
      <c r="D710" s="3">
        <v>45352.865717592591</v>
      </c>
      <c r="E710" s="2" t="s">
        <v>828</v>
      </c>
    </row>
    <row r="711" spans="1:5" ht="70" x14ac:dyDescent="0.2">
      <c r="A711" s="2" t="s">
        <v>841</v>
      </c>
      <c r="B711" s="2" t="str">
        <f>HYPERLINK("https://medriva.com/nutrition/fda-greenlights-limited-health-claim-linking-yogurt-consumption-to-reduced-diabetes-risk")</f>
        <v>https://medriva.com/nutrition/fda-greenlights-limited-health-claim-linking-yogurt-consumption-to-reduced-diabetes-risk</v>
      </c>
      <c r="C711" s="2" t="s">
        <v>840</v>
      </c>
      <c r="D711" s="3">
        <v>45352.873773148152</v>
      </c>
      <c r="E711" s="2" t="s">
        <v>842</v>
      </c>
    </row>
    <row r="712" spans="1:5" ht="84" x14ac:dyDescent="0.2">
      <c r="A712" s="2" t="s">
        <v>83</v>
      </c>
      <c r="B712" s="2" t="str">
        <f>HYPERLINK("https://beatlyzer.com/yogurt-can-now-claim-it-may-reduce-the-risk-of-diabetes-862671.html")</f>
        <v>https://beatlyzer.com/yogurt-can-now-claim-it-may-reduce-the-risk-of-diabetes-862671.html</v>
      </c>
      <c r="C712" s="2" t="s">
        <v>84</v>
      </c>
      <c r="D712" s="3">
        <v>45352.874942129631</v>
      </c>
      <c r="E712" s="2" t="s">
        <v>85</v>
      </c>
    </row>
    <row r="713" spans="1:5" ht="84" x14ac:dyDescent="0.2">
      <c r="A713" s="2" t="s">
        <v>2808</v>
      </c>
      <c r="B713" s="2" t="str">
        <f>HYPERLINK("https://thenews.sg/yoghurts-can-make-limited-claim-that-the-food-reduces-risk-of-type-2-diabetes-fda-says/")</f>
        <v>https://thenews.sg/yoghurts-can-make-limited-claim-that-the-food-reduces-risk-of-type-2-diabetes-fda-says/</v>
      </c>
      <c r="C713" s="2" t="s">
        <v>3827</v>
      </c>
      <c r="D713" s="3">
        <v>45352.887418981481</v>
      </c>
      <c r="E713" s="2" t="s">
        <v>3828</v>
      </c>
    </row>
    <row r="714" spans="1:5" ht="98" x14ac:dyDescent="0.2">
      <c r="A714" s="2" t="s">
        <v>487</v>
      </c>
      <c r="B714" s="2" t="str">
        <f>HYPERLINK("https://phbiznews.com/hot-news/maaari-nang-mag-angkin-ang-yogurt-na-maaaring-mabawasan-ang-panganib-ng-diyabetes/")</f>
        <v>https://phbiznews.com/hot-news/maaari-nang-mag-angkin-ang-yogurt-na-maaaring-mabawasan-ang-panganib-ng-diyabetes/</v>
      </c>
      <c r="C714" s="2" t="s">
        <v>3864</v>
      </c>
      <c r="D714" s="3">
        <v>45352.888194444437</v>
      </c>
      <c r="E714" s="2" t="s">
        <v>489</v>
      </c>
    </row>
    <row r="715" spans="1:5" ht="84" x14ac:dyDescent="0.2">
      <c r="A715" s="2" t="s">
        <v>83</v>
      </c>
      <c r="B715" s="2" t="str">
        <f>HYPERLINK("https://dnyuz.com/2024/03/01/yogurt-can-now-claim-it-may-reduce-the-risk-of-diabetes/")</f>
        <v>https://dnyuz.com/2024/03/01/yogurt-can-now-claim-it-may-reduce-the-risk-of-diabetes/</v>
      </c>
      <c r="C715" s="2" t="s">
        <v>2847</v>
      </c>
      <c r="D715" s="3">
        <v>45352.888715277782</v>
      </c>
      <c r="E715" s="2" t="s">
        <v>558</v>
      </c>
    </row>
    <row r="716" spans="1:5" ht="98" x14ac:dyDescent="0.2">
      <c r="A716" s="2" t="s">
        <v>263</v>
      </c>
      <c r="B716" s="2" t="str">
        <f>HYPERLINK("https://malaysianbuzz.com/news/yogurt-boleh-mendakwa-ia-mungkin-mengurangkan-risiko-diabetes/")</f>
        <v>https://malaysianbuzz.com/news/yogurt-boleh-mendakwa-ia-mungkin-mengurangkan-risiko-diabetes/</v>
      </c>
      <c r="C716" s="2" t="s">
        <v>368</v>
      </c>
      <c r="D716" s="3">
        <v>45352.889062499999</v>
      </c>
      <c r="E716" s="2" t="s">
        <v>265</v>
      </c>
    </row>
    <row r="717" spans="1:5" ht="98" x14ac:dyDescent="0.2">
      <c r="A717" s="2" t="s">
        <v>445</v>
      </c>
      <c r="B717" s="2" t="str">
        <f>HYPERLINK("https://pedfire.com/yogurt-can-make-limited-claim-to-reduce-risk-of-type-2-diabetes-fda-says/")</f>
        <v>https://pedfire.com/yogurt-can-make-limited-claim-to-reduce-risk-of-type-2-diabetes-fda-says/</v>
      </c>
      <c r="C717" s="2" t="s">
        <v>446</v>
      </c>
      <c r="D717" s="3">
        <v>45352.890601851846</v>
      </c>
      <c r="E717" s="2" t="s">
        <v>378</v>
      </c>
    </row>
    <row r="718" spans="1:5" ht="98" x14ac:dyDescent="0.2">
      <c r="A718" s="2" t="s">
        <v>260</v>
      </c>
      <c r="B718" s="2" t="str">
        <f>HYPERLINK("https://pressvn.com/news/sua-chua-hien-co-the-tuyen-bo-co-the-lam-giam-nguy-co-mac-benh-tieu-duong/")</f>
        <v>https://pressvn.com/news/sua-chua-hien-co-the-tuyen-bo-co-the-lam-giam-nguy-co-mac-benh-tieu-duong/</v>
      </c>
      <c r="C718" s="2" t="s">
        <v>261</v>
      </c>
      <c r="D718" s="3">
        <v>45352.892800925933</v>
      </c>
      <c r="E718" s="2" t="s">
        <v>262</v>
      </c>
    </row>
    <row r="719" spans="1:5" ht="98" x14ac:dyDescent="0.2">
      <c r="A719" s="2" t="s">
        <v>487</v>
      </c>
      <c r="B719" s="2" t="str">
        <f>HYPERLINK("https://philpr.com/hot-news/maaari-nang-mag-angkin-ang-yogurt-na-maaaring-mabawasan-ang-panganib-ng-diyabetes/")</f>
        <v>https://philpr.com/hot-news/maaari-nang-mag-angkin-ang-yogurt-na-maaaring-mabawasan-ang-panganib-ng-diyabetes/</v>
      </c>
      <c r="C719" s="2" t="s">
        <v>488</v>
      </c>
      <c r="D719" s="3">
        <v>45352.89503472222</v>
      </c>
      <c r="E719" s="2" t="s">
        <v>489</v>
      </c>
    </row>
    <row r="720" spans="1:5" ht="98" x14ac:dyDescent="0.2">
      <c r="A720" s="2" t="s">
        <v>263</v>
      </c>
      <c r="B720" s="2" t="str">
        <f>HYPERLINK("https://klweek.com/news/yogurt-boleh-mendakwa-ia-mungkin-mengurangkan-risiko-diabetes/")</f>
        <v>https://klweek.com/news/yogurt-boleh-mendakwa-ia-mungkin-mengurangkan-risiko-diabetes/</v>
      </c>
      <c r="C720" s="2" t="s">
        <v>338</v>
      </c>
      <c r="D720" s="3">
        <v>45352.896145833343</v>
      </c>
      <c r="E720" s="2" t="s">
        <v>265</v>
      </c>
    </row>
    <row r="721" spans="1:5" ht="98" x14ac:dyDescent="0.2">
      <c r="A721" s="2" t="s">
        <v>266</v>
      </c>
      <c r="B721" s="2" t="str">
        <f>HYPERLINK("https://indonewswire.com/berita/yogurt-bisa-mengklaim-dapat-mengurangi-risiko-diabetes/")</f>
        <v>https://indonewswire.com/berita/yogurt-bisa-mengklaim-dapat-mengurangi-risiko-diabetes/</v>
      </c>
      <c r="C721" s="2" t="s">
        <v>267</v>
      </c>
      <c r="D721" s="3">
        <v>45352.899583333332</v>
      </c>
      <c r="E721" s="2" t="s">
        <v>268</v>
      </c>
    </row>
    <row r="722" spans="1:5" ht="98" x14ac:dyDescent="0.2">
      <c r="A722" s="2" t="s">
        <v>263</v>
      </c>
      <c r="B722" s="2" t="str">
        <f>HYPERLINK("https://linkingmy.com/berita/yogurt-boleh-mendakwa-ia-mungkin-mengurangkan-risiko-diabetes/")</f>
        <v>https://linkingmy.com/berita/yogurt-boleh-mendakwa-ia-mungkin-mengurangkan-risiko-diabetes/</v>
      </c>
      <c r="C722" s="2" t="s">
        <v>264</v>
      </c>
      <c r="D722" s="3">
        <v>45352.900312500002</v>
      </c>
      <c r="E722" s="2" t="s">
        <v>265</v>
      </c>
    </row>
    <row r="723" spans="1:5" ht="98" x14ac:dyDescent="0.2">
      <c r="A723" s="2" t="s">
        <v>260</v>
      </c>
      <c r="B723" s="2" t="str">
        <f>HYPERLINK("https://vnwired.com/news/sua-chua-hien-co-the-tuyen-bo-co-the-lam-giam-nguy-co-mac-benh-tieu-duong/")</f>
        <v>https://vnwired.com/news/sua-chua-hien-co-the-tuyen-bo-co-the-lam-giam-nguy-co-mac-benh-tieu-duong/</v>
      </c>
      <c r="C723" s="2" t="s">
        <v>3990</v>
      </c>
      <c r="D723" s="3">
        <v>45352.908703703702</v>
      </c>
      <c r="E723" s="2" t="s">
        <v>262</v>
      </c>
    </row>
    <row r="724" spans="1:5" ht="56" x14ac:dyDescent="0.2">
      <c r="A724" s="2" t="s">
        <v>746</v>
      </c>
      <c r="B724" s="2" t="str">
        <f>HYPERLINK("https://espanol.news/ahora-se-puede-afirmar-que-el-yogur-puede-reducir-el-riesgo-de-diabetes/")</f>
        <v>https://espanol.news/ahora-se-puede-afirmar-que-el-yogur-puede-reducir-el-riesgo-de-diabetes/</v>
      </c>
      <c r="C724" s="2" t="s">
        <v>747</v>
      </c>
      <c r="D724" s="3">
        <v>45352.910034722219</v>
      </c>
      <c r="E724" s="2" t="s">
        <v>683</v>
      </c>
    </row>
    <row r="725" spans="1:5" ht="84" x14ac:dyDescent="0.2">
      <c r="A725" s="2" t="s">
        <v>83</v>
      </c>
      <c r="B725" s="2" t="str">
        <f>HYPERLINK("https://fynefettle.com/yogurt-can-now-claim-it-may-reduce-the-risk-of-diabetes/")</f>
        <v>https://fynefettle.com/yogurt-can-now-claim-it-may-reduce-the-risk-of-diabetes/</v>
      </c>
      <c r="C725" s="2" t="s">
        <v>555</v>
      </c>
      <c r="D725" s="3">
        <v>45352.914305555547</v>
      </c>
      <c r="E725" s="2" t="s">
        <v>558</v>
      </c>
    </row>
    <row r="726" spans="1:5" ht="98" x14ac:dyDescent="0.2">
      <c r="A726" s="2" t="s">
        <v>260</v>
      </c>
      <c r="B726" s="2" t="str">
        <f>HYPERLINK("https://hanoipr.com/news/sua-chua-hien-co-the-tuyen-bo-co-the-lam-giam-nguy-co-mac-benh-tieu-duong/")</f>
        <v>https://hanoipr.com/news/sua-chua-hien-co-the-tuyen-bo-co-the-lam-giam-nguy-co-mac-benh-tieu-duong/</v>
      </c>
      <c r="C726" s="2" t="s">
        <v>367</v>
      </c>
      <c r="D726" s="3">
        <v>45352.915833333333</v>
      </c>
      <c r="E726" s="2" t="s">
        <v>262</v>
      </c>
    </row>
    <row r="727" spans="1:5" ht="98" x14ac:dyDescent="0.2">
      <c r="A727" s="2" t="s">
        <v>266</v>
      </c>
      <c r="B727" s="2" t="str">
        <f>HYPERLINK("https://seatribune.com/berita/yogurt-bisa-mengklaim-dapat-mengurangi-risiko-diabetes/")</f>
        <v>https://seatribune.com/berita/yogurt-bisa-mengklaim-dapat-mengurangi-risiko-diabetes/</v>
      </c>
      <c r="C727" s="2" t="s">
        <v>269</v>
      </c>
      <c r="D727" s="3">
        <v>45352.918263888889</v>
      </c>
      <c r="E727" s="2" t="s">
        <v>268</v>
      </c>
    </row>
    <row r="728" spans="1:5" ht="140" x14ac:dyDescent="0.2">
      <c r="A728" s="2" t="s">
        <v>83</v>
      </c>
      <c r="B728" s="2" t="str">
        <f>HYPERLINK("https://reportwire.org/yogurt-can-now-claim-it-may-reduce-the-risk-of-diabetes/")</f>
        <v>https://reportwire.org/yogurt-can-now-claim-it-may-reduce-the-risk-of-diabetes/</v>
      </c>
      <c r="C728" s="2" t="s">
        <v>710</v>
      </c>
      <c r="D728" s="3">
        <v>45352.921817129631</v>
      </c>
      <c r="E728" s="2" t="s">
        <v>712</v>
      </c>
    </row>
    <row r="729" spans="1:5" ht="84" x14ac:dyDescent="0.2">
      <c r="A729" s="2" t="s">
        <v>91</v>
      </c>
      <c r="B729" s="2" t="str">
        <f>HYPERLINK("https://ravallirepublic.com/news/nation-world/yogurt-diabetes-fda-type-2/article_6aed8515-3a38-5a8a-b5ef-ac9d5faeb604.html")</f>
        <v>https://ravallirepublic.com/news/nation-world/yogurt-diabetes-fda-type-2/article_6aed8515-3a38-5a8a-b5ef-ac9d5faeb604.html</v>
      </c>
      <c r="C729" s="2" t="s">
        <v>1670</v>
      </c>
      <c r="D729" s="3">
        <v>45352.954618055563</v>
      </c>
      <c r="E729" s="2" t="s">
        <v>828</v>
      </c>
    </row>
    <row r="730" spans="1:5" ht="42" x14ac:dyDescent="0.2">
      <c r="A730" s="2" t="s">
        <v>673</v>
      </c>
      <c r="B730" s="2" t="str">
        <f>HYPERLINK("https://www.newsylist.com/the-government-is-buying-fertilizer-worth-tk-439-crore-2024-03-02-034745/")</f>
        <v>https://www.newsylist.com/the-government-is-buying-fertilizer-worth-tk-439-crore-2024-03-02-034745/</v>
      </c>
      <c r="C730" s="2" t="s">
        <v>670</v>
      </c>
      <c r="D730" s="3">
        <v>45352.95888888889</v>
      </c>
      <c r="E730" s="2" t="s">
        <v>674</v>
      </c>
    </row>
    <row r="731" spans="1:5" ht="84" x14ac:dyDescent="0.2">
      <c r="A731" s="2" t="s">
        <v>83</v>
      </c>
      <c r="B731" s="2" t="str">
        <f>HYPERLINK("https://wishpittsburgh.com/time-top-stories/d2b5f951a8163c2c63f9fab724969e4c")</f>
        <v>https://wishpittsburgh.com/time-top-stories/d2b5f951a8163c2c63f9fab724969e4c</v>
      </c>
      <c r="C731" s="2" t="s">
        <v>3791</v>
      </c>
      <c r="D731" s="3">
        <v>45352.960879629631</v>
      </c>
      <c r="E731" s="2" t="s">
        <v>558</v>
      </c>
    </row>
    <row r="732" spans="1:5" ht="112" x14ac:dyDescent="0.2">
      <c r="A732" s="2" t="s">
        <v>388</v>
      </c>
      <c r="B732" s="2" t="str">
        <f>HYPERLINK("https://ustoday.news/yogurt-can-now-claim-that-it-can-reduce-the-risk-of-diabetes/")</f>
        <v>https://ustoday.news/yogurt-can-now-claim-that-it-can-reduce-the-risk-of-diabetes/</v>
      </c>
      <c r="C732" s="2" t="s">
        <v>389</v>
      </c>
      <c r="D732" s="3">
        <v>45352.968194444453</v>
      </c>
      <c r="E732" s="2" t="s">
        <v>390</v>
      </c>
    </row>
    <row r="733" spans="1:5" ht="84" x14ac:dyDescent="0.2">
      <c r="A733" s="2" t="s">
        <v>637</v>
      </c>
      <c r="B733" s="2" t="str">
        <f>HYPERLINK("https://newsbeezer.com/singapore/yogurts-are-limited-in-their-ability-to-claim-that-the-food-reduces-the-risk-of-type-2-diabetes-the-fda-says/")</f>
        <v>https://newsbeezer.com/singapore/yogurts-are-limited-in-their-ability-to-claim-that-the-food-reduces-the-risk-of-type-2-diabetes-the-fda-says/</v>
      </c>
      <c r="C733" s="2" t="s">
        <v>629</v>
      </c>
      <c r="D733" s="3">
        <v>45352.987002314818</v>
      </c>
      <c r="E733" s="2" t="s">
        <v>638</v>
      </c>
    </row>
    <row r="734" spans="1:5" ht="98" x14ac:dyDescent="0.2">
      <c r="A734" s="2" t="s">
        <v>377</v>
      </c>
      <c r="B734" s="2" t="str">
        <f>HYPERLINK("https://newszetu.com/yogurts-can-now-make-limited-claim-that-they-lower-type-2-diabetes-risk-fda-says/")</f>
        <v>https://newszetu.com/yogurts-can-now-make-limited-claim-that-they-lower-type-2-diabetes-risk-fda-says/</v>
      </c>
      <c r="C734" s="2" t="s">
        <v>373</v>
      </c>
      <c r="D734" s="3">
        <v>45353</v>
      </c>
      <c r="E734" s="2" t="s">
        <v>378</v>
      </c>
    </row>
    <row r="735" spans="1:5" ht="70" x14ac:dyDescent="0.2">
      <c r="A735" s="2" t="s">
        <v>2590</v>
      </c>
      <c r="B735" s="2" t="str">
        <f>HYPERLINK("https://health.economictimes.indiatimes.com/news/industry/yogurts-can-make-limited-claim-that-the-food-reduces-risk-of-type-2-diabetes-fda-says/108154795")</f>
        <v>https://health.economictimes.indiatimes.com/news/industry/yogurts-can-make-limited-claim-that-the-food-reduces-risk-of-type-2-diabetes-fda-says/108154795</v>
      </c>
      <c r="C735" s="2" t="s">
        <v>2591</v>
      </c>
      <c r="D735" s="3">
        <v>45353.018692129634</v>
      </c>
      <c r="E735" s="2" t="s">
        <v>2592</v>
      </c>
    </row>
    <row r="736" spans="1:5" ht="98" x14ac:dyDescent="0.2">
      <c r="A736" s="2" t="s">
        <v>826</v>
      </c>
      <c r="B736" s="2" t="str">
        <f>HYPERLINK("https://health-reporter.news/yogurts-can-now-make-limited-claim-that-they-lower-type-2-diabetes-risk-fda-says/")</f>
        <v>https://health-reporter.news/yogurts-can-now-make-limited-claim-that-they-lower-type-2-diabetes-risk-fda-says/</v>
      </c>
      <c r="C736" s="2" t="s">
        <v>222</v>
      </c>
      <c r="D736" s="3">
        <v>45353.019166666672</v>
      </c>
      <c r="E736" s="2" t="s">
        <v>378</v>
      </c>
    </row>
    <row r="737" spans="1:5" ht="84" x14ac:dyDescent="0.2">
      <c r="A737" s="2" t="s">
        <v>91</v>
      </c>
      <c r="B737" s="2" t="str">
        <f>HYPERLINK("https://missoulian.com/news/nation-world/yogurt-diabetes-fda-type-2/article_e319c527-19e1-5fcd-90e5-58babbcaa4bb.html")</f>
        <v>https://missoulian.com/news/nation-world/yogurt-diabetes-fda-type-2/article_e319c527-19e1-5fcd-90e5-58babbcaa4bb.html</v>
      </c>
      <c r="C737" s="2" t="s">
        <v>2269</v>
      </c>
      <c r="D737" s="3">
        <v>45353.053287037037</v>
      </c>
      <c r="E737" s="2" t="s">
        <v>828</v>
      </c>
    </row>
    <row r="738" spans="1:5" ht="84" x14ac:dyDescent="0.2">
      <c r="A738" s="2" t="s">
        <v>3779</v>
      </c>
      <c r="B738" s="2" t="str">
        <f>HYPERLINK("https://newsfounded.com/singapore/yogurts-may-make-limited-claims-that-food-reduces-risk-of-type-2-diabetes-fda-says/")</f>
        <v>https://newsfounded.com/singapore/yogurts-may-make-limited-claims-that-food-reduces-risk-of-type-2-diabetes-fda-says/</v>
      </c>
      <c r="C738" s="2" t="s">
        <v>3771</v>
      </c>
      <c r="D738" s="3">
        <v>45353.080694444441</v>
      </c>
      <c r="E738" s="2" t="s">
        <v>3780</v>
      </c>
    </row>
    <row r="739" spans="1:5" ht="42" x14ac:dyDescent="0.2">
      <c r="A739" s="2" t="s">
        <v>4109</v>
      </c>
      <c r="B739" s="2" t="str">
        <f>HYPERLINK("https://artigercek.com/saglik/abd-gida-ve-ilac-idaresi-yogurt-urunlerinde-tip-2-diyabet-riskini-azaltma-286244h")</f>
        <v>https://artigercek.com/saglik/abd-gida-ve-ilac-idaresi-yogurt-urunlerinde-tip-2-diyabet-riskini-azaltma-286244h</v>
      </c>
      <c r="C739" s="2" t="s">
        <v>4110</v>
      </c>
      <c r="D739" s="3">
        <v>45353.086122685178</v>
      </c>
      <c r="E739" s="2" t="s">
        <v>4111</v>
      </c>
    </row>
    <row r="740" spans="1:5" ht="126" x14ac:dyDescent="0.2">
      <c r="A740" s="2" t="s">
        <v>8</v>
      </c>
      <c r="B740" s="2" t="str">
        <f>HYPERLINK("https://newsnetdaily.com/yogurt-may-have-limited-claim-to-reduce-risk-of-type-2-diabetes-fda-says-2/")</f>
        <v>https://newsnetdaily.com/yogurt-may-have-limited-claim-to-reduce-risk-of-type-2-diabetes-fda-says-2/</v>
      </c>
      <c r="C740" s="2" t="s">
        <v>6</v>
      </c>
      <c r="D740" s="3">
        <v>45353.091689814813</v>
      </c>
      <c r="E740" s="2" t="s">
        <v>9</v>
      </c>
    </row>
    <row r="741" spans="1:5" ht="126" x14ac:dyDescent="0.2">
      <c r="A741" s="2" t="s">
        <v>8</v>
      </c>
      <c r="B741" s="2" t="str">
        <f>HYPERLINK("https://goodwordnews.com/yogurt-may-have-limited-claim-to-reduce-risk-of-type-2-diabetes-fda-says/")</f>
        <v>https://goodwordnews.com/yogurt-may-have-limited-claim-to-reduce-risk-of-type-2-diabetes-fda-says/</v>
      </c>
      <c r="C741" s="2" t="s">
        <v>472</v>
      </c>
      <c r="D741" s="3">
        <v>45353.118495370371</v>
      </c>
      <c r="E741" s="2" t="s">
        <v>9</v>
      </c>
    </row>
    <row r="742" spans="1:5" ht="84" x14ac:dyDescent="0.2">
      <c r="A742" s="2" t="s">
        <v>3777</v>
      </c>
      <c r="B742" s="2" t="str">
        <f>HYPERLINK("https://thesentimes.com/yogurt-can-make-limited-claim-that-the-food-reduces-risk-of-type-2-diabetes-fda-says/")</f>
        <v>https://thesentimes.com/yogurt-can-make-limited-claim-that-the-food-reduces-risk-of-type-2-diabetes-fda-says/</v>
      </c>
      <c r="C742" s="2" t="s">
        <v>3778</v>
      </c>
      <c r="D742" s="3">
        <v>45353.141759259262</v>
      </c>
      <c r="E742" s="2" t="s">
        <v>558</v>
      </c>
    </row>
    <row r="743" spans="1:5" ht="70" x14ac:dyDescent="0.2">
      <c r="A743" s="2" t="s">
        <v>1952</v>
      </c>
      <c r="B743" s="2" t="str">
        <f>HYPERLINK("https://kion546.com/t23/noticias-cnn/cnn-spanish/2024/03/02/los-yogures-ahora-pueden-afirmar-de-forma-limitada-que-reducen-el-riesgo-de-diabetes-tipo-2-dice-la-fda/")</f>
        <v>https://kion546.com/t23/noticias-cnn/cnn-spanish/2024/03/02/los-yogures-ahora-pueden-afirmar-de-forma-limitada-que-reducen-el-riesgo-de-diabetes-tipo-2-dice-la-fda/</v>
      </c>
      <c r="C743" s="2" t="s">
        <v>1953</v>
      </c>
      <c r="D743" s="3">
        <v>45353.156782407408</v>
      </c>
      <c r="E743" s="2" t="s">
        <v>459</v>
      </c>
    </row>
    <row r="744" spans="1:5" ht="56" x14ac:dyDescent="0.2">
      <c r="A744" s="2" t="s">
        <v>926</v>
      </c>
      <c r="B744" s="2" t="str">
        <f>HYPERLINK("https://www.wicz.com/story/50522624/los-yogures-ahora-pueden-afirmar-de-forma-limitada-que-reducen-el-riesgo-de-diabetes-tipo-2-dice-la-fda")</f>
        <v>https://www.wicz.com/story/50522624/los-yogures-ahora-pueden-afirmar-de-forma-limitada-que-reducen-el-riesgo-de-diabetes-tipo-2-dice-la-fda</v>
      </c>
      <c r="C744" s="2" t="s">
        <v>1970</v>
      </c>
      <c r="D744" s="3">
        <v>45353.162499999999</v>
      </c>
      <c r="E744" s="2" t="s">
        <v>459</v>
      </c>
    </row>
    <row r="745" spans="1:5" ht="56" x14ac:dyDescent="0.2">
      <c r="A745" s="2" t="s">
        <v>926</v>
      </c>
      <c r="B745" s="2" t="str">
        <f>HYPERLINK("https://lado.mx/noticia.php?id=15394282")</f>
        <v>https://lado.mx/noticia.php?id=15394282</v>
      </c>
      <c r="C745" s="2" t="s">
        <v>1599</v>
      </c>
      <c r="D745" s="3">
        <v>45353.162766203714</v>
      </c>
      <c r="E745" s="2" t="s">
        <v>459</v>
      </c>
    </row>
    <row r="746" spans="1:5" ht="56" x14ac:dyDescent="0.2">
      <c r="A746" s="2" t="s">
        <v>926</v>
      </c>
      <c r="B746" s="2" t="str">
        <f>HYPERLINK("https://www.huaral.pe/los-yogures-ahora-pueden-afirmar-de-forma-limitada-que-reducen-el-riesgo-de-diabetes-tipo-2-dice-la-fda/2024/")</f>
        <v>https://www.huaral.pe/los-yogures-ahora-pueden-afirmar-de-forma-limitada-que-reducen-el-riesgo-de-diabetes-tipo-2-dice-la-fda/2024/</v>
      </c>
      <c r="C746" s="2" t="s">
        <v>3826</v>
      </c>
      <c r="D746" s="3">
        <v>45353.163726851853</v>
      </c>
      <c r="E746" s="2" t="s">
        <v>459</v>
      </c>
    </row>
    <row r="747" spans="1:5" ht="70" x14ac:dyDescent="0.2">
      <c r="A747" s="2" t="s">
        <v>926</v>
      </c>
      <c r="B747" s="2" t="str">
        <f>HYPERLINK("https://kesq.com/kunamundo/noticias-cnn/cnn-spanish/2024/03/02/los-yogures-ahora-pueden-afirmar-de-forma-limitada-que-reducen-el-riesgo-de-diabetes-tipo-2-dice-la-fda/")</f>
        <v>https://kesq.com/kunamundo/noticias-cnn/cnn-spanish/2024/03/02/los-yogures-ahora-pueden-afirmar-de-forma-limitada-que-reducen-el-riesgo-de-diabetes-tipo-2-dice-la-fda/</v>
      </c>
      <c r="C747" s="2" t="s">
        <v>2449</v>
      </c>
      <c r="D747" s="3">
        <v>45353.166064814817</v>
      </c>
      <c r="E747" s="2" t="s">
        <v>1337</v>
      </c>
    </row>
    <row r="748" spans="1:5" ht="70" x14ac:dyDescent="0.2">
      <c r="A748" s="2" t="s">
        <v>926</v>
      </c>
      <c r="B748" s="2" t="str">
        <f>HYPERLINK("https://ktvz.com/cnn-spanish/2024/03/02/los-yogures-ahora-pueden-afirmar-de-forma-limitada-que-reducen-el-riesgo-de-diabetes-tipo-2-dice-la-fda/")</f>
        <v>https://ktvz.com/cnn-spanish/2024/03/02/los-yogures-ahora-pueden-afirmar-de-forma-limitada-que-reducen-el-riesgo-de-diabetes-tipo-2-dice-la-fda/</v>
      </c>
      <c r="C748" s="2" t="s">
        <v>2747</v>
      </c>
      <c r="D748" s="3">
        <v>45353.172453703701</v>
      </c>
      <c r="E748" s="2" t="s">
        <v>459</v>
      </c>
    </row>
    <row r="749" spans="1:5" ht="56" x14ac:dyDescent="0.2">
      <c r="A749" s="2" t="s">
        <v>926</v>
      </c>
      <c r="B749" s="2" t="str">
        <f>HYPERLINK("https://wtop.com/news/2024/03/los-yogures-ahora-pueden-afirmar-de-forma-limitada-que-reducen-el-riesgo-de-diabetes-tipo-2-dice-la-fda/")</f>
        <v>https://wtop.com/news/2024/03/los-yogures-ahora-pueden-afirmar-de-forma-limitada-que-reducen-el-riesgo-de-diabetes-tipo-2-dice-la-fda/</v>
      </c>
      <c r="C749" s="2" t="s">
        <v>3076</v>
      </c>
      <c r="D749" s="3">
        <v>45353.172453703701</v>
      </c>
      <c r="E749" s="2" t="s">
        <v>459</v>
      </c>
    </row>
    <row r="750" spans="1:5" ht="84" x14ac:dyDescent="0.2">
      <c r="A750" s="2" t="s">
        <v>926</v>
      </c>
      <c r="B750" s="2" t="str">
        <f>HYPERLINK("https://www.crossroadstoday.com/news/espanol/noticias-locales/los-yogures-ahora-pueden-afirmar-de-forma-limitada-que-reducen-el-riesgo-de-diabetes-tipo/article_c91b298a-cb96-5e69-aea6-181d20b0891d.html")</f>
        <v>https://www.crossroadstoday.com/news/espanol/noticias-locales/los-yogures-ahora-pueden-afirmar-de-forma-limitada-que-reducen-el-riesgo-de-diabetes-tipo/article_c91b298a-cb96-5e69-aea6-181d20b0891d.html</v>
      </c>
      <c r="C750" s="2" t="s">
        <v>1821</v>
      </c>
      <c r="D750" s="3">
        <v>45353.176782407398</v>
      </c>
      <c r="E750" s="2" t="s">
        <v>459</v>
      </c>
    </row>
    <row r="751" spans="1:5" ht="84" x14ac:dyDescent="0.2">
      <c r="A751" s="2" t="s">
        <v>926</v>
      </c>
      <c r="B751" s="2" t="str">
        <f>HYPERLINK("https://www.local3news.com/regional-national/en-espanol/los-yogures-ahora-pueden-afirmar-de-forma-limitada-que-reducen-el-riesgo-de-diabetes-tipo/article_46e60cef-56c2-5879-800d-174c050c2ee6.html")</f>
        <v>https://www.local3news.com/regional-national/en-espanol/los-yogures-ahora-pueden-afirmar-de-forma-limitada-que-reducen-el-riesgo-de-diabetes-tipo/article_46e60cef-56c2-5879-800d-174c050c2ee6.html</v>
      </c>
      <c r="C751" s="2" t="s">
        <v>2582</v>
      </c>
      <c r="D751" s="3">
        <v>45353.188530092593</v>
      </c>
      <c r="E751" s="2" t="s">
        <v>459</v>
      </c>
    </row>
    <row r="752" spans="1:5" ht="70" x14ac:dyDescent="0.2">
      <c r="A752" s="2" t="s">
        <v>926</v>
      </c>
      <c r="B752" s="2" t="str">
        <f>HYPERLINK("https://www.kezi.com/news/spanish/los-yogures-ahora-pueden-afirmar-de-forma-limitada-que-reducen-el-riesgo-de-diabetes-tipo/article_e681ed41-10aa-56c7-bcbb-ef9ae0e3f2f4.html")</f>
        <v>https://www.kezi.com/news/spanish/los-yogures-ahora-pueden-afirmar-de-forma-limitada-que-reducen-el-riesgo-de-diabetes-tipo/article_e681ed41-10aa-56c7-bcbb-ef9ae0e3f2f4.html</v>
      </c>
      <c r="C752" s="2" t="s">
        <v>2410</v>
      </c>
      <c r="D752" s="3">
        <v>45353.188576388893</v>
      </c>
      <c r="E752" s="2" t="s">
        <v>459</v>
      </c>
    </row>
    <row r="753" spans="1:5" ht="70" x14ac:dyDescent="0.2">
      <c r="A753" s="2" t="s">
        <v>926</v>
      </c>
      <c r="B753" s="2" t="str">
        <f>HYPERLINK("https://www.wxow.com/news/spanish/los-yogures-ahora-pueden-afirmar-de-forma-limitada-que-reducen-el-riesgo-de-diabetes-tipo/article_8c1bd91a-0cf0-546f-9acb-ae616b2770ac.html")</f>
        <v>https://www.wxow.com/news/spanish/los-yogures-ahora-pueden-afirmar-de-forma-limitada-que-reducen-el-riesgo-de-diabetes-tipo/article_8c1bd91a-0cf0-546f-9acb-ae616b2770ac.html</v>
      </c>
      <c r="C753" s="2" t="s">
        <v>2107</v>
      </c>
      <c r="D753" s="3">
        <v>45353.188784722217</v>
      </c>
      <c r="E753" s="2" t="s">
        <v>459</v>
      </c>
    </row>
    <row r="754" spans="1:5" ht="70" x14ac:dyDescent="0.2">
      <c r="A754" s="2" t="s">
        <v>926</v>
      </c>
      <c r="B754" s="2" t="str">
        <f>HYPERLINK("https://keyt.com/latino/cnn-spanish/2024/03/02/los-yogures-ahora-pueden-afirmar-de-forma-limitada-que-reducen-el-riesgo-de-diabetes-tipo-2-dice-la-fda/")</f>
        <v>https://keyt.com/latino/cnn-spanish/2024/03/02/los-yogures-ahora-pueden-afirmar-de-forma-limitada-que-reducen-el-riesgo-de-diabetes-tipo-2-dice-la-fda/</v>
      </c>
      <c r="C754" s="2" t="s">
        <v>2330</v>
      </c>
      <c r="D754" s="3">
        <v>45353.191018518519</v>
      </c>
      <c r="E754" s="2" t="s">
        <v>459</v>
      </c>
    </row>
    <row r="755" spans="1:5" ht="70" x14ac:dyDescent="0.2">
      <c r="A755" s="2" t="s">
        <v>2228</v>
      </c>
      <c r="B755" s="2" t="str">
        <f>HYPERLINK("https://localnews8.com/cnn-spanish/2024/03/02/los-yogures-ahora-pueden-afirmar-de-forma-limitada-que-reducen-el-riesgo-de-diabetes-tipo-2-dice-la-fda/")</f>
        <v>https://localnews8.com/cnn-spanish/2024/03/02/los-yogures-ahora-pueden-afirmar-de-forma-limitada-que-reducen-el-riesgo-de-diabetes-tipo-2-dice-la-fda/</v>
      </c>
      <c r="C755" s="2" t="s">
        <v>2164</v>
      </c>
      <c r="D755" s="3">
        <v>45353.201851851853</v>
      </c>
      <c r="E755" s="2" t="s">
        <v>459</v>
      </c>
    </row>
    <row r="756" spans="1:5" ht="56" x14ac:dyDescent="0.2">
      <c r="A756" s="2" t="s">
        <v>926</v>
      </c>
      <c r="B756" s="2" t="str">
        <f>HYPERLINK("https://krdo.com/news/2024/03/02/los-yogures-ahora-pueden-afirmar-de-forma-limitada-que-reducen-el-riesgo-de-diabetes-tipo-2-dice-la-fda/")</f>
        <v>https://krdo.com/news/2024/03/02/los-yogures-ahora-pueden-afirmar-de-forma-limitada-que-reducen-el-riesgo-de-diabetes-tipo-2-dice-la-fda/</v>
      </c>
      <c r="C756" s="2" t="s">
        <v>2558</v>
      </c>
      <c r="D756" s="3">
        <v>45353.202800925923</v>
      </c>
      <c r="E756" s="2" t="s">
        <v>459</v>
      </c>
    </row>
    <row r="757" spans="1:5" ht="56" x14ac:dyDescent="0.2">
      <c r="A757" s="2" t="s">
        <v>458</v>
      </c>
      <c r="B757" s="2" t="str">
        <f>HYPERLINK("https://www.kidnewsradio.com/los-yogures-ahora-pueden-afirmar-de-forma-limitada-que-reducen-el-riesgo-de-diabetes-tipo-2-dice-la-fda/")</f>
        <v>https://www.kidnewsradio.com/los-yogures-ahora-pueden-afirmar-de-forma-limitada-que-reducen-el-riesgo-de-diabetes-tipo-2-dice-la-fda/</v>
      </c>
      <c r="C757" s="2" t="s">
        <v>457</v>
      </c>
      <c r="D757" s="3">
        <v>45353.205081018517</v>
      </c>
      <c r="E757" s="2" t="s">
        <v>459</v>
      </c>
    </row>
    <row r="758" spans="1:5" ht="84" x14ac:dyDescent="0.2">
      <c r="A758" s="2" t="s">
        <v>1705</v>
      </c>
      <c r="B758" s="2" t="str">
        <f>HYPERLINK("https://www.hotsr.com/news/2024/mar/02/us-yogurts-can-make-limited-claim-that-the-food/")</f>
        <v>https://www.hotsr.com/news/2024/mar/02/us-yogurts-can-make-limited-claim-that-the-food/</v>
      </c>
      <c r="C758" s="2" t="s">
        <v>1706</v>
      </c>
      <c r="D758" s="3">
        <v>45353.208333333343</v>
      </c>
      <c r="E758" s="2" t="s">
        <v>1237</v>
      </c>
    </row>
    <row r="759" spans="1:5" ht="56" x14ac:dyDescent="0.2">
      <c r="A759" s="2" t="s">
        <v>1030</v>
      </c>
      <c r="B759" s="2" t="str">
        <f>HYPERLINK("https://news.eseuro.com/trends/3250441.html")</f>
        <v>https://news.eseuro.com/trends/3250441.html</v>
      </c>
      <c r="C759" s="2" t="s">
        <v>1031</v>
      </c>
      <c r="D759" s="3">
        <v>45353.212037037039</v>
      </c>
      <c r="E759" s="2" t="s">
        <v>683</v>
      </c>
    </row>
    <row r="760" spans="1:5" ht="70" x14ac:dyDescent="0.2">
      <c r="A760" s="2" t="s">
        <v>926</v>
      </c>
      <c r="B760" s="2" t="str">
        <f>HYPERLINK("https://abc17news.com/cnn-spanish/2024/03/02/los-yogures-ahora-pueden-afirmar-de-forma-limitada-que-reducen-el-riesgo-de-diabetes-tipo-2-dice-la-fda/")</f>
        <v>https://abc17news.com/cnn-spanish/2024/03/02/los-yogures-ahora-pueden-afirmar-de-forma-limitada-que-reducen-el-riesgo-de-diabetes-tipo-2-dice-la-fda/</v>
      </c>
      <c r="C760" s="2" t="s">
        <v>2484</v>
      </c>
      <c r="D760" s="3">
        <v>45353.214699074073</v>
      </c>
      <c r="E760" s="2" t="s">
        <v>459</v>
      </c>
    </row>
    <row r="761" spans="1:5" ht="56" x14ac:dyDescent="0.2">
      <c r="A761" s="2" t="s">
        <v>671</v>
      </c>
      <c r="B761" s="2" t="str">
        <f>HYPERLINK("https://www.newsylist.com/industry-to-wag-loop-start-implementation-now-2024-03-02-103959/")</f>
        <v>https://www.newsylist.com/industry-to-wag-loop-start-implementation-now-2024-03-02-103959/</v>
      </c>
      <c r="C761" s="2" t="s">
        <v>670</v>
      </c>
      <c r="D761" s="3">
        <v>45353.256249999999</v>
      </c>
      <c r="E761" s="2" t="s">
        <v>672</v>
      </c>
    </row>
    <row r="762" spans="1:5" ht="56" x14ac:dyDescent="0.2">
      <c r="A762" s="2" t="s">
        <v>869</v>
      </c>
      <c r="B762" s="2" t="str">
        <f>HYPERLINK("https://www.hechoencalifornia1010.com/los-yogures-ahora-pueden-afirmar-de-forma-limitada-que-reducen-el-riesgo-de-diabetes-tipo-2/")</f>
        <v>https://www.hechoencalifornia1010.com/los-yogures-ahora-pueden-afirmar-de-forma-limitada-que-reducen-el-riesgo-de-diabetes-tipo-2/</v>
      </c>
      <c r="C762" s="2" t="s">
        <v>658</v>
      </c>
      <c r="D762" s="3">
        <v>45353.313113425917</v>
      </c>
      <c r="E762" s="2" t="s">
        <v>459</v>
      </c>
    </row>
    <row r="763" spans="1:5" ht="56" x14ac:dyDescent="0.2">
      <c r="A763" s="2" t="s">
        <v>869</v>
      </c>
      <c r="B763" s="2" t="str">
        <f>HYPERLINK("https://estamosaqui.mx/2024/03/02/los-yogures-ahora-pueden-afirmar-de-forma-limitada-que-reducen-el-riesgo-de-diabetes-tipo-2/")</f>
        <v>https://estamosaqui.mx/2024/03/02/los-yogures-ahora-pueden-afirmar-de-forma-limitada-que-reducen-el-riesgo-de-diabetes-tipo-2/</v>
      </c>
      <c r="C763" s="2" t="s">
        <v>1818</v>
      </c>
      <c r="D763" s="3">
        <v>45353.362569444442</v>
      </c>
      <c r="E763" s="2" t="s">
        <v>459</v>
      </c>
    </row>
    <row r="764" spans="1:5" ht="56" x14ac:dyDescent="0.2">
      <c r="A764" s="2" t="s">
        <v>2617</v>
      </c>
      <c r="B764" s="2" t="str">
        <f>HYPERLINK("https://www.singtaousa.com/4779320")</f>
        <v>https://www.singtaousa.com/4779320</v>
      </c>
      <c r="C764" s="2" t="s">
        <v>2618</v>
      </c>
      <c r="D764" s="3">
        <v>45353.36383101852</v>
      </c>
      <c r="E764" s="2" t="s">
        <v>2619</v>
      </c>
    </row>
    <row r="765" spans="1:5" ht="84" x14ac:dyDescent="0.2">
      <c r="A765" s="2" t="s">
        <v>91</v>
      </c>
      <c r="B765" s="2" t="str">
        <f>HYPERLINK("https://www.columbian.com/news/2024/mar/02/yogurts-can-make-limited-claim-that-the-food-reduces-risk-of-type-2-diabetes-fda-says/")</f>
        <v>https://www.columbian.com/news/2024/mar/02/yogurts-can-make-limited-claim-that-the-food-reduces-risk-of-type-2-diabetes-fda-says/</v>
      </c>
      <c r="C765" s="2" t="s">
        <v>2659</v>
      </c>
      <c r="D765" s="3">
        <v>45353.376423611109</v>
      </c>
      <c r="E765" s="2" t="s">
        <v>558</v>
      </c>
    </row>
    <row r="766" spans="1:5" ht="42" x14ac:dyDescent="0.2">
      <c r="A766" s="2" t="s">
        <v>467</v>
      </c>
      <c r="B766" s="2" t="str">
        <f>HYPERLINK("https://todayschronic.com/yogurts-can-make-limited-claim-that-the-food-reduces-risk-of-type-2-diabetes-fda/")</f>
        <v>https://todayschronic.com/yogurts-can-make-limited-claim-that-the-food-reduces-risk-of-type-2-diabetes-fda/</v>
      </c>
      <c r="C766" s="2" t="s">
        <v>524</v>
      </c>
      <c r="D766" s="3">
        <v>45353.426458333342</v>
      </c>
      <c r="E766" s="2" t="s">
        <v>549</v>
      </c>
    </row>
    <row r="767" spans="1:5" ht="84" x14ac:dyDescent="0.2">
      <c r="A767" s="2" t="s">
        <v>460</v>
      </c>
      <c r="B767" s="2" t="str">
        <f>HYPERLINK("https://www.breakinglatest.news/business/fda-allows-limited-claim-yogurt-can-reduce-risk-of-type-2-diabetes/")</f>
        <v>https://www.breakinglatest.news/business/fda-allows-limited-claim-yogurt-can-reduce-risk-of-type-2-diabetes/</v>
      </c>
      <c r="C767" s="2" t="s">
        <v>461</v>
      </c>
      <c r="D767" s="3">
        <v>45353.438449074078</v>
      </c>
      <c r="E767" s="2" t="s">
        <v>462</v>
      </c>
    </row>
    <row r="768" spans="1:5" ht="84" x14ac:dyDescent="0.2">
      <c r="A768" s="2" t="s">
        <v>460</v>
      </c>
      <c r="B768" s="2" t="str">
        <f>HYPERLINK("https://www.newsylist.com/fda-allows-limited-claim-yogurt-can-reduce-risk-of-type-2-diabetes/")</f>
        <v>https://www.newsylist.com/fda-allows-limited-claim-yogurt-can-reduce-risk-of-type-2-diabetes/</v>
      </c>
      <c r="C768" s="2" t="s">
        <v>670</v>
      </c>
      <c r="D768" s="3">
        <v>45353.459201388891</v>
      </c>
      <c r="E768" s="2" t="s">
        <v>462</v>
      </c>
    </row>
    <row r="769" spans="1:5" ht="70" x14ac:dyDescent="0.2">
      <c r="A769" s="2" t="s">
        <v>926</v>
      </c>
      <c r="B769" s="2" t="str">
        <f>HYPERLINK("https://vnexplorer.net/los-yogures-ahora-pueden-afirmar-de-forma-limitada-que-reducen-el-riesgo-de-diabetes-tipo-2-dice-la-fda-s1710686.html")</f>
        <v>https://vnexplorer.net/los-yogures-ahora-pueden-afirmar-de-forma-limitada-que-reducen-el-riesgo-de-diabetes-tipo-2-dice-la-fda-s1710686.html</v>
      </c>
      <c r="C769" s="2" t="s">
        <v>1334</v>
      </c>
      <c r="D769" s="3">
        <v>45353.492511574077</v>
      </c>
      <c r="E769" s="2" t="s">
        <v>1337</v>
      </c>
    </row>
    <row r="770" spans="1:5" ht="182" x14ac:dyDescent="0.2">
      <c r="A770" s="2" t="s">
        <v>2823</v>
      </c>
      <c r="B770" s="2" t="str">
        <f>HYPERLINK("https://www.citizen.digital/lifestyle/yoghurts-can-now-make-limited-claim-that-they-lower-type-2-diabetes-risk-fda-says-n337739")</f>
        <v>https://www.citizen.digital/lifestyle/yoghurts-can-now-make-limited-claim-that-they-lower-type-2-diabetes-risk-fda-says-n337739</v>
      </c>
      <c r="C770" s="2" t="s">
        <v>2824</v>
      </c>
      <c r="D770" s="3">
        <v>45353.516446759262</v>
      </c>
      <c r="E770" s="2" t="s">
        <v>2825</v>
      </c>
    </row>
    <row r="771" spans="1:5" ht="98" x14ac:dyDescent="0.2">
      <c r="A771" s="2" t="s">
        <v>826</v>
      </c>
      <c r="B771" s="2" t="str">
        <f>HYPERLINK("https://krdo.com/news/2024/03/02/yogurts-can-now-make-limited-claim-that-they-lower-type-2-diabetes-risk-fda-says/")</f>
        <v>https://krdo.com/news/2024/03/02/yogurts-can-now-make-limited-claim-that-they-lower-type-2-diabetes-risk-fda-says/</v>
      </c>
      <c r="C771" s="2" t="s">
        <v>2558</v>
      </c>
      <c r="D771" s="3">
        <v>45353.578263888892</v>
      </c>
      <c r="E771" s="2" t="s">
        <v>378</v>
      </c>
    </row>
    <row r="772" spans="1:5" ht="98" x14ac:dyDescent="0.2">
      <c r="A772" s="2" t="s">
        <v>826</v>
      </c>
      <c r="B772" s="2" t="str">
        <f>HYPERLINK("https://www.wxow.com/news/health/yogurts-can-now-make-limited-claim-that-they-lower-type-2-diabetes-risk-fda-says/article_9501d00d-38f8-5cc7-8e6b-850d8aa42a0d.html")</f>
        <v>https://www.wxow.com/news/health/yogurts-can-now-make-limited-claim-that-they-lower-type-2-diabetes-risk-fda-says/article_9501d00d-38f8-5cc7-8e6b-850d8aa42a0d.html</v>
      </c>
      <c r="C772" s="2" t="s">
        <v>2107</v>
      </c>
      <c r="D772" s="3">
        <v>45353.600185185183</v>
      </c>
      <c r="E772" s="2" t="s">
        <v>378</v>
      </c>
    </row>
    <row r="773" spans="1:5" ht="84" x14ac:dyDescent="0.2">
      <c r="A773" s="2" t="s">
        <v>3839</v>
      </c>
      <c r="B773" s="2" t="str">
        <f>HYPERLINK("https://newsfounded.com/yogurts-can-now-make-limited-claims-that-the-food-lowers-diabetes-risk-the-fda-says/")</f>
        <v>https://newsfounded.com/yogurts-can-now-make-limited-claims-that-the-food-lowers-diabetes-risk-the-fda-says/</v>
      </c>
      <c r="C773" s="2" t="s">
        <v>3771</v>
      </c>
      <c r="D773" s="3">
        <v>45353.616111111107</v>
      </c>
      <c r="E773" s="2" t="s">
        <v>3840</v>
      </c>
    </row>
    <row r="774" spans="1:5" ht="84" x14ac:dyDescent="0.2">
      <c r="A774" s="2" t="s">
        <v>91</v>
      </c>
      <c r="B774" s="2" t="str">
        <f>HYPERLINK("https://trib.com/news/nation-world/yogurt-diabetes-fda-type-2/article_e3ad7b2b-1254-50f0-a504-ba5620e539c1.html")</f>
        <v>https://trib.com/news/nation-world/yogurt-diabetes-fda-type-2/article_e3ad7b2b-1254-50f0-a504-ba5620e539c1.html</v>
      </c>
      <c r="C774" s="2" t="s">
        <v>1935</v>
      </c>
      <c r="D774" s="3">
        <v>45353.617256944453</v>
      </c>
      <c r="E774" s="2" t="s">
        <v>828</v>
      </c>
    </row>
    <row r="775" spans="1:5" ht="98" x14ac:dyDescent="0.2">
      <c r="A775" s="2" t="s">
        <v>641</v>
      </c>
      <c r="B775" s="2" t="str">
        <f>HYPERLINK("https://newsbeezer.com/yogurts-are-now-limited-in-their-ability-to-claim-that-the-food-reduces-the-risk-of-diabetes-the-fda-says/")</f>
        <v>https://newsbeezer.com/yogurts-are-now-limited-in-their-ability-to-claim-that-the-food-reduces-the-risk-of-diabetes-the-fda-says/</v>
      </c>
      <c r="C775" s="2" t="s">
        <v>629</v>
      </c>
      <c r="D775" s="3">
        <v>45353.632245370369</v>
      </c>
      <c r="E775" s="2" t="s">
        <v>640</v>
      </c>
    </row>
    <row r="776" spans="1:5" ht="56" x14ac:dyDescent="0.2">
      <c r="A776" s="2" t="s">
        <v>408</v>
      </c>
      <c r="B776" s="2" t="str">
        <f>HYPERLINK("https://pressnewsagency.org/yogurts-can-now-make-restricted-declare-that-the-meals-lowers-diabetes-danger-fda-says-cnn/")</f>
        <v>https://pressnewsagency.org/yogurts-can-now-make-restricted-declare-that-the-meals-lowers-diabetes-danger-fda-says-cnn/</v>
      </c>
      <c r="C776" s="2" t="s">
        <v>394</v>
      </c>
      <c r="D776" s="3">
        <v>45353.633275462962</v>
      </c>
      <c r="E776" s="2" t="s">
        <v>409</v>
      </c>
    </row>
    <row r="777" spans="1:5" ht="98" x14ac:dyDescent="0.2">
      <c r="A777" s="2" t="s">
        <v>266</v>
      </c>
      <c r="B777" s="2" t="str">
        <f>HYPERLINK("https://idnewszone.com/berita/yogurt-bisa-mengklaim-dapat-mengurangi-risiko-diabetes/")</f>
        <v>https://idnewszone.com/berita/yogurt-bisa-mengklaim-dapat-mengurangi-risiko-diabetes/</v>
      </c>
      <c r="C777" s="2" t="s">
        <v>4072</v>
      </c>
      <c r="D777" s="3">
        <v>45353.651053240741</v>
      </c>
      <c r="E777" s="2" t="s">
        <v>268</v>
      </c>
    </row>
    <row r="778" spans="1:5" ht="84" x14ac:dyDescent="0.2">
      <c r="A778" s="2" t="s">
        <v>91</v>
      </c>
      <c r="B778" s="2" t="str">
        <f>HYPERLINK("https://www.ncnewsonline.com/news/local_news/yogurts-can-make-limited-claim-that-the-food-reduces-risk-of-type-2-diabetes-fda/article_9dcdf40e-5c80-5abd-b9a6-f5f5337ee304.html")</f>
        <v>https://www.ncnewsonline.com/news/local_news/yogurts-can-make-limited-claim-that-the-food-reduces-risk-of-type-2-diabetes-fda/article_9dcdf40e-5c80-5abd-b9a6-f5f5337ee304.html</v>
      </c>
      <c r="C778" s="2" t="s">
        <v>1901</v>
      </c>
      <c r="D778" s="3">
        <v>45353.663263888891</v>
      </c>
      <c r="E778" s="2" t="s">
        <v>828</v>
      </c>
    </row>
    <row r="779" spans="1:5" ht="84" x14ac:dyDescent="0.2">
      <c r="A779" s="2" t="s">
        <v>91</v>
      </c>
      <c r="B779" s="2" t="str">
        <f>HYPERLINK("https://www.yahoo.com/news/yogurts-limited-claim-food-reduces-224030261.html")</f>
        <v>https://www.yahoo.com/news/yogurts-limited-claim-food-reduces-224030261.html</v>
      </c>
      <c r="C779" s="2" t="s">
        <v>3728</v>
      </c>
      <c r="D779" s="3">
        <v>45353.736458333333</v>
      </c>
      <c r="E779" s="2" t="s">
        <v>558</v>
      </c>
    </row>
    <row r="780" spans="1:5" ht="84" x14ac:dyDescent="0.2">
      <c r="A780" s="2" t="s">
        <v>91</v>
      </c>
      <c r="B780" s="2" t="str">
        <f>HYPERLINK("https://www.wfla.com/news/national/yogurts-can-make-limited-claim-that-the-food-reduces-risk-of-type-2-diabetes-fda-says/")</f>
        <v>https://www.wfla.com/news/national/yogurts-can-make-limited-claim-that-the-food-reduces-risk-of-type-2-diabetes-fda-says/</v>
      </c>
      <c r="C780" s="2" t="s">
        <v>3247</v>
      </c>
      <c r="D780" s="3">
        <v>45353.738634259258</v>
      </c>
      <c r="E780" s="2" t="s">
        <v>1237</v>
      </c>
    </row>
    <row r="781" spans="1:5" ht="112" x14ac:dyDescent="0.2">
      <c r="A781" s="2" t="s">
        <v>91</v>
      </c>
      <c r="B781" s="2" t="str">
        <f>HYPERLINK("https://newyorkfolk.com/news/yogurts-can-make-limited-claim-that-the-food-reduces-risk-of-type-2-diabetes-fda-says/")</f>
        <v>https://newyorkfolk.com/news/yogurts-can-make-limited-claim-that-the-food-reduces-risk-of-type-2-diabetes-fda-says/</v>
      </c>
      <c r="C781" s="2" t="s">
        <v>129</v>
      </c>
      <c r="D781" s="3">
        <v>45353.743738425917</v>
      </c>
      <c r="E781" s="2" t="s">
        <v>130</v>
      </c>
    </row>
    <row r="782" spans="1:5" ht="98" x14ac:dyDescent="0.2">
      <c r="A782" s="2" t="s">
        <v>826</v>
      </c>
      <c r="B782" s="2" t="str">
        <f>HYPERLINK("https://www.kwwl.com/news/national/yogurts-can-now-make-limited-claim-that-they-lower-type-2-diabetes-risk-fda-says/article_33a826ab-fd8b-5c65-8cda-7d361cba05c5.html")</f>
        <v>https://www.kwwl.com/news/national/yogurts-can-now-make-limited-claim-that-they-lower-type-2-diabetes-risk-fda-says/article_33a826ab-fd8b-5c65-8cda-7d361cba05c5.html</v>
      </c>
      <c r="C782" s="2" t="s">
        <v>2350</v>
      </c>
      <c r="D782" s="3">
        <v>45353.778287037043</v>
      </c>
      <c r="E782" s="2" t="s">
        <v>2530</v>
      </c>
    </row>
    <row r="783" spans="1:5" ht="98" x14ac:dyDescent="0.2">
      <c r="A783" s="2" t="s">
        <v>826</v>
      </c>
      <c r="B783" s="2" t="str">
        <f>HYPERLINK("https://www.wsiltv.com/news/yogurts-can-now-make-limited-claim-that-they-lower-type-2-diabetes-risk-fda-says/article_e889a187-7f7b-5e75-ac0e-c927c2624a3f.html")</f>
        <v>https://www.wsiltv.com/news/yogurts-can-now-make-limited-claim-that-they-lower-type-2-diabetes-risk-fda-says/article_e889a187-7f7b-5e75-ac0e-c927c2624a3f.html</v>
      </c>
      <c r="C783" s="2" t="s">
        <v>2232</v>
      </c>
      <c r="D783" s="3">
        <v>45353.778402777767</v>
      </c>
      <c r="E783" s="2" t="s">
        <v>378</v>
      </c>
    </row>
    <row r="784" spans="1:5" ht="70" x14ac:dyDescent="0.2">
      <c r="A784" s="2" t="s">
        <v>926</v>
      </c>
      <c r="B784" s="2" t="str">
        <f>HYPERLINK("https://news.lee.net/partners/cnn/los-yogures-ahora-pueden-afirmar-de-forma-limitada-que-reducen-el-riesgo-de-diabetes-tipo/article_ce936d58-faa9-5d10-aebd-2a58147821d6.html")</f>
        <v>https://news.lee.net/partners/cnn/los-yogures-ahora-pueden-afirmar-de-forma-limitada-que-reducen-el-riesgo-de-diabetes-tipo/article_ce936d58-faa9-5d10-aebd-2a58147821d6.html</v>
      </c>
      <c r="C784" s="2" t="s">
        <v>1651</v>
      </c>
      <c r="D784" s="3">
        <v>45353.848032407397</v>
      </c>
      <c r="E784" s="2" t="s">
        <v>459</v>
      </c>
    </row>
    <row r="785" spans="1:5" ht="56" x14ac:dyDescent="0.2">
      <c r="A785" s="2" t="s">
        <v>91</v>
      </c>
      <c r="B785" s="2" t="str">
        <f>HYPERLINK("https://chronicleslive.com/yogurts-can-make-limited-claim-that-the-food-reduces-risk-of-type-2-diabetes-fda-says-2/")</f>
        <v>https://chronicleslive.com/yogurts-can-make-limited-claim-that-the-food-reduces-risk-of-type-2-diabetes-fda-says-2/</v>
      </c>
      <c r="C785" s="2" t="s">
        <v>581</v>
      </c>
      <c r="D785" s="3">
        <v>45353.856481481482</v>
      </c>
      <c r="E785" s="2" t="s">
        <v>70</v>
      </c>
    </row>
    <row r="786" spans="1:5" ht="84" x14ac:dyDescent="0.2">
      <c r="A786" s="2" t="s">
        <v>1392</v>
      </c>
      <c r="B786" s="2" t="str">
        <f>HYPERLINK("https://www.archyde.com/yogurt-and-type-2-diabetes-fda-approved-health-claim-explained/")</f>
        <v>https://www.archyde.com/yogurt-and-type-2-diabetes-fda-approved-health-claim-explained/</v>
      </c>
      <c r="C786" s="2" t="s">
        <v>1393</v>
      </c>
      <c r="D786" s="3">
        <v>45353.869513888887</v>
      </c>
      <c r="E786" s="2" t="s">
        <v>1394</v>
      </c>
    </row>
    <row r="787" spans="1:5" ht="56" x14ac:dyDescent="0.2">
      <c r="A787" s="2" t="s">
        <v>91</v>
      </c>
      <c r="B787" s="2" t="str">
        <f>HYPERLINK("http://yoursbulletin.com/yogurts-can-make-limited-claim-that-the-food-reduces-risk-of-type-2-diabetes-fda-says/")</f>
        <v>http://yoursbulletin.com/yogurts-can-make-limited-claim-that-the-food-reduces-risk-of-type-2-diabetes-fda-says/</v>
      </c>
      <c r="C787" s="2" t="s">
        <v>789</v>
      </c>
      <c r="D787" s="3">
        <v>45353.974421296298</v>
      </c>
      <c r="E787" s="2" t="s">
        <v>70</v>
      </c>
    </row>
    <row r="788" spans="1:5" ht="56" x14ac:dyDescent="0.2">
      <c r="A788" s="2" t="s">
        <v>91</v>
      </c>
      <c r="B788" s="2" t="str">
        <f>HYPERLINK("https://www.theitem.com/stories/yogurts-can-make-limited-claim-that-the-food-reduces-risk-of-type-2-diabetes-fda-says,412600")</f>
        <v>https://www.theitem.com/stories/yogurts-can-make-limited-claim-that-the-food-reduces-risk-of-type-2-diabetes-fda-says,412600</v>
      </c>
      <c r="C788" s="2" t="s">
        <v>1736</v>
      </c>
      <c r="D788" s="3">
        <v>45354</v>
      </c>
      <c r="E788" s="2" t="s">
        <v>549</v>
      </c>
    </row>
    <row r="789" spans="1:5" ht="84" x14ac:dyDescent="0.2">
      <c r="A789" s="2" t="s">
        <v>91</v>
      </c>
      <c r="B789" s="2" t="str">
        <f>HYPERLINK("https://www.koamnewsnow.com/news/health/yogurt-diabetes-fda-type-2/article_49587dba-5665-5bfc-b9d2-f4f56b39d08c.html")</f>
        <v>https://www.koamnewsnow.com/news/health/yogurt-diabetes-fda-type-2/article_49587dba-5665-5bfc-b9d2-f4f56b39d08c.html</v>
      </c>
      <c r="C789" s="2" t="s">
        <v>2024</v>
      </c>
      <c r="D789" s="3">
        <v>45354</v>
      </c>
      <c r="E789" s="2" t="s">
        <v>828</v>
      </c>
    </row>
    <row r="790" spans="1:5" ht="84" x14ac:dyDescent="0.2">
      <c r="A790" s="2" t="s">
        <v>2456</v>
      </c>
      <c r="B790" s="2" t="str">
        <f>HYPERLINK("https://www.comisarul.ro/articol/iaurturile-pot-reduce-riscul-de-diabet-de-tip-2-sp_1529299.html")</f>
        <v>https://www.comisarul.ro/articol/iaurturile-pot-reduce-riscul-de-diabet-de-tip-2-sp_1529299.html</v>
      </c>
      <c r="C790" s="2" t="s">
        <v>2457</v>
      </c>
      <c r="D790" s="3">
        <v>45354</v>
      </c>
      <c r="E790" s="2" t="s">
        <v>2458</v>
      </c>
    </row>
    <row r="791" spans="1:5" ht="56" x14ac:dyDescent="0.2">
      <c r="A791" s="2" t="s">
        <v>91</v>
      </c>
      <c r="B791" s="2" t="str">
        <f>HYPERLINK("http://swifttelecast.com/yogurts-can-make-limited-claim-that-the-food-reduces-risk-of-type-2-diabetes-fda-says/")</f>
        <v>http://swifttelecast.com/yogurts-can-make-limited-claim-that-the-food-reduces-risk-of-type-2-diabetes-fda-says/</v>
      </c>
      <c r="C791" s="2" t="s">
        <v>283</v>
      </c>
      <c r="D791" s="3">
        <v>45354.108912037038</v>
      </c>
      <c r="E791" s="2" t="s">
        <v>70</v>
      </c>
    </row>
    <row r="792" spans="1:5" ht="42" x14ac:dyDescent="0.2">
      <c r="A792" s="2" t="s">
        <v>192</v>
      </c>
      <c r="B792" s="2" t="str">
        <f>HYPERLINK("https://www.dailysabah.com/life/food/fda-grants-limited-approval-for-yogurts-diabetes-risk-reduction-claim")</f>
        <v>https://www.dailysabah.com/life/food/fda-grants-limited-approval-for-yogurts-diabetes-risk-reduction-claim</v>
      </c>
      <c r="C792" s="2" t="s">
        <v>2819</v>
      </c>
      <c r="D792" s="3">
        <v>45354.128877314812</v>
      </c>
      <c r="E792" s="2" t="s">
        <v>70</v>
      </c>
    </row>
    <row r="793" spans="1:5" ht="140" x14ac:dyDescent="0.2">
      <c r="A793" s="2" t="s">
        <v>91</v>
      </c>
      <c r="B793" s="2" t="str">
        <f>HYPERLINK("https://newsfinale.com/local-news/yogurts-can-make-limited-claim-that-the-food-reduces-risk-of-type-2-diabetes-fda-says/")</f>
        <v>https://newsfinale.com/local-news/yogurts-can-make-limited-claim-that-the-food-reduces-risk-of-type-2-diabetes-fda-says/</v>
      </c>
      <c r="C793" s="2" t="s">
        <v>1028</v>
      </c>
      <c r="D793" s="3">
        <v>45354.194548611107</v>
      </c>
      <c r="E793" s="2" t="s">
        <v>1029</v>
      </c>
    </row>
    <row r="794" spans="1:5" ht="84" x14ac:dyDescent="0.2">
      <c r="A794" s="2" t="s">
        <v>192</v>
      </c>
      <c r="B794" s="2" t="str">
        <f>HYPERLINK("https://news7f.com/fda-grants-limited-approval-for-yogurts-diabetes-risk-reduction-claim/")</f>
        <v>https://news7f.com/fda-grants-limited-approval-for-yogurts-diabetes-risk-reduction-claim/</v>
      </c>
      <c r="C794" s="2" t="s">
        <v>193</v>
      </c>
      <c r="D794" s="3">
        <v>45354.229502314818</v>
      </c>
      <c r="E794" s="2" t="s">
        <v>194</v>
      </c>
    </row>
    <row r="795" spans="1:5" ht="112" x14ac:dyDescent="0.2">
      <c r="A795" s="2" t="s">
        <v>2850</v>
      </c>
      <c r="B795" s="2" t="str">
        <f>HYPERLINK("https://www.theyeshivaworld.com/news/general/2265448/yogurts-can-claim-to-reduces-risk-of-type-2-diabetes-fda-says.html")</f>
        <v>https://www.theyeshivaworld.com/news/general/2265448/yogurts-can-claim-to-reduces-risk-of-type-2-diabetes-fda-says.html</v>
      </c>
      <c r="C795" s="2" t="s">
        <v>2802</v>
      </c>
      <c r="D795" s="3">
        <v>45354.340601851851</v>
      </c>
      <c r="E795" s="2" t="s">
        <v>2851</v>
      </c>
    </row>
    <row r="796" spans="1:5" ht="84" x14ac:dyDescent="0.2">
      <c r="A796" s="2" t="s">
        <v>1722</v>
      </c>
      <c r="B796" s="2" t="str">
        <f>HYPERLINK("https://www.morningagclips.com/yogurts-can-make-limited-claim-that-the-food-reduces-risk-of-type-2-diabetes-fda-says/")</f>
        <v>https://www.morningagclips.com/yogurts-can-make-limited-claim-that-the-food-reduces-risk-of-type-2-diabetes-fda-says/</v>
      </c>
      <c r="C796" s="2" t="s">
        <v>1720</v>
      </c>
      <c r="D796" s="3">
        <v>45354.342592592591</v>
      </c>
      <c r="E796" s="2" t="s">
        <v>558</v>
      </c>
    </row>
    <row r="797" spans="1:5" ht="84" x14ac:dyDescent="0.2">
      <c r="A797" s="2" t="s">
        <v>2456</v>
      </c>
      <c r="B797" s="2" t="str">
        <f>HYPERLINK("https://adevarul.ro/stiri-interne/sanatate/iaurturile-pot-reduce-riscul-de-diabet-de-tip-2-2344633.html")</f>
        <v>https://adevarul.ro/stiri-interne/sanatate/iaurturile-pot-reduce-riscul-de-diabet-de-tip-2-2344633.html</v>
      </c>
      <c r="C797" s="2" t="s">
        <v>3335</v>
      </c>
      <c r="D797" s="3">
        <v>45354.414930555547</v>
      </c>
      <c r="E797" s="2" t="s">
        <v>2458</v>
      </c>
    </row>
    <row r="798" spans="1:5" ht="98" x14ac:dyDescent="0.2">
      <c r="A798" s="2" t="s">
        <v>249</v>
      </c>
      <c r="B798" s="2" t="str">
        <f>HYPERLINK("https://germanic.news/joghurt-kann-jetzt-behaupten-dass-er-das-diabetesrisiko-senken-kann/")</f>
        <v>https://germanic.news/joghurt-kann-jetzt-behaupten-dass-er-das-diabetesrisiko-senken-kann/</v>
      </c>
      <c r="C798" s="2" t="s">
        <v>243</v>
      </c>
      <c r="D798" s="3">
        <v>45354.417488425926</v>
      </c>
      <c r="E798" s="2" t="s">
        <v>250</v>
      </c>
    </row>
    <row r="799" spans="1:5" ht="84" x14ac:dyDescent="0.2">
      <c r="A799" s="2" t="s">
        <v>2456</v>
      </c>
      <c r="B799" s="2" t="str">
        <f>HYPERLINK("https://stireazilei.co.uk/iaurturile-pot-reduce-riscul-de-diabet-de-tip-2-spune-administratia-americana-pentru-alimente-si-medicamente-ce-parere-au-medicii-nutritionisti/")</f>
        <v>https://stireazilei.co.uk/iaurturile-pot-reduce-riscul-de-diabet-de-tip-2-spune-administratia-americana-pentru-alimente-si-medicamente-ce-parere-au-medicii-nutritionisti/</v>
      </c>
      <c r="C799" s="2" t="s">
        <v>4043</v>
      </c>
      <c r="D799" s="3">
        <v>45354.428530092591</v>
      </c>
      <c r="E799" s="2" t="s">
        <v>4044</v>
      </c>
    </row>
    <row r="800" spans="1:5" ht="70" x14ac:dyDescent="0.2">
      <c r="A800" s="2" t="s">
        <v>2368</v>
      </c>
      <c r="B800" s="2" t="str">
        <f>HYPERLINK("https://www.techtimes.com/articles/302241/20240303/yogurt-gets-nod-fda-limited-evidence-suggests-reduction-type-2.htm")</f>
        <v>https://www.techtimes.com/articles/302241/20240303/yogurt-gets-nod-fda-limited-evidence-suggests-reduction-type-2.htm</v>
      </c>
      <c r="C800" s="2" t="s">
        <v>2369</v>
      </c>
      <c r="D800" s="3">
        <v>45354.454791666663</v>
      </c>
      <c r="E800" s="2" t="s">
        <v>2370</v>
      </c>
    </row>
    <row r="801" spans="1:5" ht="56" x14ac:dyDescent="0.2">
      <c r="A801" s="2" t="s">
        <v>2470</v>
      </c>
      <c r="B801" s="2" t="str">
        <f>HYPERLINK("https://n.com.do/2024/03/03/segun-fda-el-yogurt-puede-reducir-el-riesgo-de-diabetes-tipo-2-de-forma-limitada/")</f>
        <v>https://n.com.do/2024/03/03/segun-fda-el-yogurt-puede-reducir-el-riesgo-de-diabetes-tipo-2-de-forma-limitada/</v>
      </c>
      <c r="C801" s="2" t="s">
        <v>2469</v>
      </c>
      <c r="D801" s="3">
        <v>45354.464594907397</v>
      </c>
      <c r="E801" s="2" t="s">
        <v>2471</v>
      </c>
    </row>
    <row r="802" spans="1:5" ht="371" x14ac:dyDescent="0.2">
      <c r="A802" s="2" t="s">
        <v>3155</v>
      </c>
      <c r="B802" s="2" t="str">
        <f>HYPERLINK("https://click.ro/actualitate/sanatate/iaurturile-ar-putea-scadea-riscul-de-diabet-de-tip-2344668.html")</f>
        <v>https://click.ro/actualitate/sanatate/iaurturile-ar-putea-scadea-riscul-de-diabet-de-tip-2344668.html</v>
      </c>
      <c r="C802" s="2" t="s">
        <v>3156</v>
      </c>
      <c r="D802" s="3">
        <v>45354.496400462973</v>
      </c>
      <c r="E802" s="2" t="s">
        <v>3157</v>
      </c>
    </row>
    <row r="803" spans="1:5" ht="112" x14ac:dyDescent="0.2">
      <c r="A803" s="2" t="s">
        <v>235</v>
      </c>
      <c r="B803" s="2" t="str">
        <f>HYPERLINK("https://business-journal.in/general-news/can-yogurt-keep-type-2-diabetes-at-bay-heres-what-the-experts-say-business-journal/")</f>
        <v>https://business-journal.in/general-news/can-yogurt-keep-type-2-diabetes-at-bay-heres-what-the-experts-say-business-journal/</v>
      </c>
      <c r="C803" s="2" t="s">
        <v>236</v>
      </c>
      <c r="D803" s="3">
        <v>45354.550833333327</v>
      </c>
      <c r="E803" s="2" t="s">
        <v>237</v>
      </c>
    </row>
    <row r="804" spans="1:5" ht="84" x14ac:dyDescent="0.2">
      <c r="A804" s="2" t="s">
        <v>2727</v>
      </c>
      <c r="B804" s="2" t="str">
        <f>HYPERLINK("https://ktar.com/story/5565383/eating-yogurt-may-reduce-risk-of-type-2-diabetes-fda-says/")</f>
        <v>https://ktar.com/story/5565383/eating-yogurt-may-reduce-risk-of-type-2-diabetes-fda-says/</v>
      </c>
      <c r="C804" s="2" t="s">
        <v>2630</v>
      </c>
      <c r="D804" s="3">
        <v>45354.585358796299</v>
      </c>
      <c r="E804" s="2" t="s">
        <v>558</v>
      </c>
    </row>
    <row r="805" spans="1:5" ht="84" x14ac:dyDescent="0.2">
      <c r="A805" s="2" t="s">
        <v>598</v>
      </c>
      <c r="B805" s="2" t="str">
        <f>HYPERLINK("http://businessnewspress.com/2024/03/03/yogurt-can-now-declare-it-would-possibly-scale-back-the-possibility-of-diabetes/")</f>
        <v>http://businessnewspress.com/2024/03/03/yogurt-can-now-declare-it-would-possibly-scale-back-the-possibility-of-diabetes/</v>
      </c>
      <c r="C805" s="2" t="s">
        <v>599</v>
      </c>
      <c r="D805" s="3">
        <v>45354.590879629628</v>
      </c>
      <c r="E805" s="2" t="s">
        <v>600</v>
      </c>
    </row>
    <row r="806" spans="1:5" ht="98" x14ac:dyDescent="0.2">
      <c r="A806" s="2" t="s">
        <v>188</v>
      </c>
      <c r="B806" s="2" t="str">
        <f>HYPERLINK("https://indiadailymail.com/general-news/can-yogurt-keep-type-2-diabetes-at-bay-heres-what-the-experts-say/")</f>
        <v>https://indiadailymail.com/general-news/can-yogurt-keep-type-2-diabetes-at-bay-heres-what-the-experts-say/</v>
      </c>
      <c r="C806" s="2" t="s">
        <v>189</v>
      </c>
      <c r="D806" s="3">
        <v>45354.663229166668</v>
      </c>
      <c r="E806" s="2" t="s">
        <v>190</v>
      </c>
    </row>
    <row r="807" spans="1:5" ht="56" x14ac:dyDescent="0.2">
      <c r="A807" s="2" t="s">
        <v>1338</v>
      </c>
      <c r="B807" s="2" t="str">
        <f>HYPERLINK("https://vnexplorer.net/konsumsi-yoghurt-diklaim-bisa-turunkan-risiko-diabetes-tipe-2-simak-penjelasan-dari-fda-s1731015.html")</f>
        <v>https://vnexplorer.net/konsumsi-yoghurt-diklaim-bisa-turunkan-risiko-diabetes-tipe-2-simak-penjelasan-dari-fda-s1731015.html</v>
      </c>
      <c r="C807" s="2" t="s">
        <v>1334</v>
      </c>
      <c r="D807" s="3">
        <v>45354.73400462963</v>
      </c>
      <c r="E807" s="2" t="s">
        <v>1339</v>
      </c>
    </row>
    <row r="808" spans="1:5" ht="397" x14ac:dyDescent="0.2">
      <c r="A808" s="2" t="s">
        <v>1338</v>
      </c>
      <c r="B808" s="2" t="str">
        <f>HYPERLINK("https://gaya.tempo.co/read/1840632/konsumsi-yoghurt-diklaim-bisa-turunkan-risiko-diabetes-tipe-2-simak-penjelasan-dari-fda")</f>
        <v>https://gaya.tempo.co/read/1840632/konsumsi-yoghurt-diklaim-bisa-turunkan-risiko-diabetes-tipe-2-simak-penjelasan-dari-fda</v>
      </c>
      <c r="C808" s="2" t="s">
        <v>3449</v>
      </c>
      <c r="D808" s="3">
        <v>45354.749803240738</v>
      </c>
      <c r="E808" s="2" t="s">
        <v>3451</v>
      </c>
    </row>
    <row r="809" spans="1:5" ht="70" x14ac:dyDescent="0.2">
      <c r="A809" s="2" t="s">
        <v>889</v>
      </c>
      <c r="B809" s="2" t="str">
        <f>HYPERLINK("http://www.diabetesincontrol.com/fda-says-yogurt-makers-can-make-qualified-claims-about-t2d-prevention/")</f>
        <v>http://www.diabetesincontrol.com/fda-says-yogurt-makers-can-make-qualified-claims-about-t2d-prevention/</v>
      </c>
      <c r="C809" s="2" t="s">
        <v>890</v>
      </c>
      <c r="D809" s="3">
        <v>45354.791666666657</v>
      </c>
      <c r="E809" s="2" t="s">
        <v>891</v>
      </c>
    </row>
    <row r="810" spans="1:5" ht="98" x14ac:dyDescent="0.2">
      <c r="A810" s="2" t="s">
        <v>826</v>
      </c>
      <c r="B810" s="2" t="str">
        <f>HYPERLINK("https://www.aol.com/yogurts-now-limited-claim-lower-212049589.html")</f>
        <v>https://www.aol.com/yogurts-now-limited-claim-lower-212049589.html</v>
      </c>
      <c r="C810" s="2" t="s">
        <v>3592</v>
      </c>
      <c r="D810" s="3">
        <v>45354.89267361111</v>
      </c>
      <c r="E810" s="2" t="s">
        <v>378</v>
      </c>
    </row>
    <row r="811" spans="1:5" ht="126" x14ac:dyDescent="0.2">
      <c r="A811" s="2" t="s">
        <v>826</v>
      </c>
      <c r="B811" s="2" t="str">
        <f>HYPERLINK("https://nation.lk/online/yogurts-can-now-make-limited-claim-that-they-lower-type-2-diabetes-risk-fda-says-258301.html")</f>
        <v>https://nation.lk/online/yogurts-can-now-make-limited-claim-that-they-lower-type-2-diabetes-risk-fda-says-258301.html</v>
      </c>
      <c r="C811" s="2" t="s">
        <v>1179</v>
      </c>
      <c r="D811" s="3">
        <v>45355</v>
      </c>
      <c r="E811" s="2" t="s">
        <v>1181</v>
      </c>
    </row>
    <row r="812" spans="1:5" ht="70" x14ac:dyDescent="0.2">
      <c r="A812" s="2" t="s">
        <v>2090</v>
      </c>
      <c r="B812" s="2" t="str">
        <f>HYPERLINK("http://metro-portal.hr/jogurt-smanjuje-rizik-od-dijabatesa/145934")</f>
        <v>http://metro-portal.hr/jogurt-smanjuje-rizik-od-dijabatesa/145934</v>
      </c>
      <c r="C812" s="2" t="s">
        <v>2088</v>
      </c>
      <c r="D812" s="3">
        <v>45355</v>
      </c>
      <c r="E812" s="2" t="s">
        <v>2091</v>
      </c>
    </row>
    <row r="813" spans="1:5" ht="70" x14ac:dyDescent="0.2">
      <c r="A813" s="2" t="s">
        <v>2952</v>
      </c>
      <c r="B813" s="2" t="str">
        <f>HYPERLINK("https://direktno.hr/zivot/zdravlje/amerikanci-tvrde-da-ova-hrana-smanjuje-rizik-od-dijabetesa-nadite-mi-jedan-bez-secera-339838/")</f>
        <v>https://direktno.hr/zivot/zdravlje/amerikanci-tvrde-da-ova-hrana-smanjuje-rizik-od-dijabetesa-nadite-mi-jedan-bez-secera-339838/</v>
      </c>
      <c r="C813" s="2" t="s">
        <v>2953</v>
      </c>
      <c r="D813" s="3">
        <v>45355</v>
      </c>
      <c r="E813" s="2" t="s">
        <v>2954</v>
      </c>
    </row>
    <row r="814" spans="1:5" ht="70" x14ac:dyDescent="0.2">
      <c r="A814" s="2" t="s">
        <v>3293</v>
      </c>
      <c r="B814" s="2" t="str">
        <f>HYPERLINK("https://www.index.hr/fit/clanak/potvrdjeno-je-omiljena-namirnica-moze-smanjiti-rizik-od-dijabetesa-tipa-2/2544019.aspx")</f>
        <v>https://www.index.hr/fit/clanak/potvrdjeno-je-omiljena-namirnica-moze-smanjiti-rizik-od-dijabetesa-tipa-2/2544019.aspx</v>
      </c>
      <c r="C814" s="2" t="s">
        <v>3294</v>
      </c>
      <c r="D814" s="3">
        <v>45355</v>
      </c>
      <c r="E814" s="2" t="s">
        <v>2091</v>
      </c>
    </row>
    <row r="815" spans="1:5" ht="70" x14ac:dyDescent="0.2">
      <c r="A815" s="2" t="s">
        <v>1927</v>
      </c>
      <c r="B815" s="2" t="str">
        <f>HYPERLINK("https://balkantv.rs/jogurt-moze-da-ima-povoljan-efekat-na-rizik-od-dijabetesa-tipa-2/")</f>
        <v>https://balkantv.rs/jogurt-moze-da-ima-povoljan-efekat-na-rizik-od-dijabetesa-tipa-2/</v>
      </c>
      <c r="C815" s="2" t="s">
        <v>3808</v>
      </c>
      <c r="D815" s="3">
        <v>45355</v>
      </c>
      <c r="E815" s="2" t="s">
        <v>1929</v>
      </c>
    </row>
    <row r="816" spans="1:5" ht="70" x14ac:dyDescent="0.2">
      <c r="A816" s="2" t="s">
        <v>3860</v>
      </c>
      <c r="B816" s="2" t="str">
        <f>HYPERLINK("http://una.ba/zivot/zdravlje/potvrdeno-je-jogurt-moze-smanjiti-rizik-od-dijabetesa-tipa-2")</f>
        <v>http://una.ba/zivot/zdravlje/potvrdeno-je-jogurt-moze-smanjiti-rizik-od-dijabetesa-tipa-2</v>
      </c>
      <c r="C816" s="2" t="s">
        <v>3861</v>
      </c>
      <c r="D816" s="3">
        <v>45355</v>
      </c>
      <c r="E816" s="2" t="s">
        <v>234</v>
      </c>
    </row>
    <row r="817" spans="1:5" ht="84" x14ac:dyDescent="0.2">
      <c r="A817" s="2" t="s">
        <v>740</v>
      </c>
      <c r="B817" s="2" t="str">
        <f>HYPERLINK("https://www.merckmanuals.com/home/news/external/2024/03/04/17/33/yogurt-makers-can-make-limited-claims-about-type-2-diabetes-prevention-fda")</f>
        <v>https://www.merckmanuals.com/home/news/external/2024/03/04/17/33/yogurt-makers-can-make-limited-claims-about-type-2-diabetes-prevention-fda</v>
      </c>
      <c r="C817" s="2" t="s">
        <v>4073</v>
      </c>
      <c r="D817" s="3">
        <v>45355</v>
      </c>
      <c r="E817" s="2" t="s">
        <v>742</v>
      </c>
    </row>
    <row r="818" spans="1:5" ht="84" x14ac:dyDescent="0.2">
      <c r="A818" s="2" t="s">
        <v>1193</v>
      </c>
      <c r="B818" s="2" t="str">
        <f>HYPERLINK("https://southfloridareporter.com/yogurts-can-make-limited-claim-that-the-food-reduces-risk-of-type-2-diabetes-fda-says/")</f>
        <v>https://southfloridareporter.com/yogurts-can-make-limited-claim-that-the-food-reduces-risk-of-type-2-diabetes-fda-says/</v>
      </c>
      <c r="C818" s="2" t="s">
        <v>1194</v>
      </c>
      <c r="D818" s="3">
        <v>45355.070057870369</v>
      </c>
      <c r="E818" s="2" t="s">
        <v>558</v>
      </c>
    </row>
    <row r="819" spans="1:5" ht="70" x14ac:dyDescent="0.2">
      <c r="A819" s="2" t="s">
        <v>3296</v>
      </c>
      <c r="B819" s="2" t="str">
        <f>HYPERLINK("https://www.index.hr/vijesti/clanak/americka-agencija-za-hranu-jogurt-moze-smanjiti-rizik-za-dijabetes-tip-2/2543993.aspx")</f>
        <v>https://www.index.hr/vijesti/clanak/americka-agencija-za-hranu-jogurt-moze-smanjiti-rizik-za-dijabetes-tip-2/2543993.aspx</v>
      </c>
      <c r="C819" s="2" t="s">
        <v>3294</v>
      </c>
      <c r="D819" s="3">
        <v>45355.176446759258</v>
      </c>
      <c r="E819" s="2" t="s">
        <v>2361</v>
      </c>
    </row>
    <row r="820" spans="1:5" ht="70" x14ac:dyDescent="0.2">
      <c r="A820" s="2" t="s">
        <v>2359</v>
      </c>
      <c r="B820" s="2" t="str">
        <f>HYPERLINK("https://prigorski.hr/jogurt-moze-povoljno-djelovati-na-rizik-za-dijabetes-tip-2/")</f>
        <v>https://prigorski.hr/jogurt-moze-povoljno-djelovati-na-rizik-za-dijabetes-tip-2/</v>
      </c>
      <c r="C820" s="2" t="s">
        <v>2360</v>
      </c>
      <c r="D820" s="3">
        <v>45355.17869212963</v>
      </c>
      <c r="E820" s="2" t="s">
        <v>2361</v>
      </c>
    </row>
    <row r="821" spans="1:5" ht="70" x14ac:dyDescent="0.2">
      <c r="A821" s="2" t="s">
        <v>3295</v>
      </c>
      <c r="B821" s="2" t="str">
        <f>HYPERLINK("https://www.index.hr/vijesti/clanak/americka-agencija-za-hranu-jogurt-moze-smanjiti-rizik-za-dijabetes-tipa-2/2543993.aspx")</f>
        <v>https://www.index.hr/vijesti/clanak/americka-agencija-za-hranu-jogurt-moze-smanjiti-rizik-za-dijabetes-tipa-2/2543993.aspx</v>
      </c>
      <c r="C821" s="2" t="s">
        <v>3294</v>
      </c>
      <c r="D821" s="3">
        <v>45355.18</v>
      </c>
      <c r="E821" s="2" t="s">
        <v>2361</v>
      </c>
    </row>
    <row r="822" spans="1:5" ht="70" x14ac:dyDescent="0.2">
      <c r="A822" s="2" t="s">
        <v>3295</v>
      </c>
      <c r="B822" s="2" t="str">
        <f>HYPERLINK("https://n1info.hr/magazin/americka-agencija-za-hranu-jogurt-moze-smanjiti-rizik-za-dijabetes-tipa-2/")</f>
        <v>https://n1info.hr/magazin/americka-agencija-za-hranu-jogurt-moze-smanjiti-rizik-za-dijabetes-tipa-2/</v>
      </c>
      <c r="C822" s="2" t="s">
        <v>3743</v>
      </c>
      <c r="D822" s="3">
        <v>45355.182800925933</v>
      </c>
      <c r="E822" s="2" t="s">
        <v>913</v>
      </c>
    </row>
    <row r="823" spans="1:5" ht="84" x14ac:dyDescent="0.2">
      <c r="A823" s="2" t="s">
        <v>3199</v>
      </c>
      <c r="B823" s="2" t="str">
        <f>HYPERLINK("https://www.24sata.hr/news/americka-agencija-za-hranu-na-jogurtima-ce-pisari-da-mogu-smanjiti-rizik-za-dijabetes-tip-2-968700")</f>
        <v>https://www.24sata.hr/news/americka-agencija-za-hranu-na-jogurtima-ce-pisari-da-mogu-smanjiti-rizik-za-dijabetes-tip-2-968700</v>
      </c>
      <c r="C823" s="2" t="s">
        <v>3200</v>
      </c>
      <c r="D823" s="3">
        <v>45355.185300925928</v>
      </c>
      <c r="E823" s="2" t="s">
        <v>3201</v>
      </c>
    </row>
    <row r="824" spans="1:5" ht="70" x14ac:dyDescent="0.2">
      <c r="A824" s="2" t="s">
        <v>2527</v>
      </c>
      <c r="B824" s="2" t="str">
        <f>HYPERLINK("https://zimo.dnevnik.hr/clanak/namirnica-koju-cesto-koristimo-moze-povoljno-djelovati-na-rizik-za-dijabetes-tip-2---835806.html")</f>
        <v>https://zimo.dnevnik.hr/clanak/namirnica-koju-cesto-koristimo-moze-povoljno-djelovati-na-rizik-za-dijabetes-tip-2---835806.html</v>
      </c>
      <c r="C824" s="2" t="s">
        <v>2528</v>
      </c>
      <c r="D824" s="3">
        <v>45355.187800925924</v>
      </c>
      <c r="E824" s="2" t="s">
        <v>2529</v>
      </c>
    </row>
    <row r="825" spans="1:5" ht="70" x14ac:dyDescent="0.2">
      <c r="A825" s="2" t="s">
        <v>1927</v>
      </c>
      <c r="B825" s="2" t="str">
        <f>HYPERLINK("https://n1info.rs/magazin/zdravlje/jogurt-moze-da-ima-povoljan-efekat-na-rizik-od-dijabetesa-tipa-2/")</f>
        <v>https://n1info.rs/magazin/zdravlje/jogurt-moze-da-ima-povoljan-efekat-na-rizik-od-dijabetesa-tipa-2/</v>
      </c>
      <c r="C825" s="2" t="s">
        <v>3460</v>
      </c>
      <c r="D825" s="3">
        <v>45355.189004629632</v>
      </c>
      <c r="E825" s="2" t="s">
        <v>1929</v>
      </c>
    </row>
    <row r="826" spans="1:5" ht="70" x14ac:dyDescent="0.2">
      <c r="A826" s="2" t="s">
        <v>3751</v>
      </c>
      <c r="B826" s="2" t="str">
        <f>HYPERLINK("https://scena.ba/jogurt-moze-smanjiti-rizik-za-dijabetes-tip-2-potvrdila-americka-agencija-za-hranu/")</f>
        <v>https://scena.ba/jogurt-moze-smanjiti-rizik-za-dijabetes-tip-2-potvrdila-americka-agencija-za-hranu/</v>
      </c>
      <c r="C826" s="2" t="s">
        <v>3752</v>
      </c>
      <c r="D826" s="3">
        <v>45355.22965277778</v>
      </c>
      <c r="E826" s="2" t="s">
        <v>913</v>
      </c>
    </row>
    <row r="827" spans="1:5" ht="70" x14ac:dyDescent="0.2">
      <c r="A827" s="2" t="s">
        <v>3224</v>
      </c>
      <c r="B827" s="2" t="str">
        <f>HYPERLINK("https://www.tportal.hr/lifestyle/clanak/ukusna-namirnica-koju-imate-kod-kuce-moze-smanjiti-rizik-za-dijabetes-tip-2-20240304")</f>
        <v>https://www.tportal.hr/lifestyle/clanak/ukusna-namirnica-koju-imate-kod-kuce-moze-smanjiti-rizik-za-dijabetes-tip-2-20240304</v>
      </c>
      <c r="C827" s="2" t="s">
        <v>3225</v>
      </c>
      <c r="D827" s="3">
        <v>45355.23951388889</v>
      </c>
      <c r="E827" s="2" t="s">
        <v>3226</v>
      </c>
    </row>
    <row r="828" spans="1:5" ht="70" x14ac:dyDescent="0.2">
      <c r="A828" s="2" t="s">
        <v>911</v>
      </c>
      <c r="B828" s="2" t="str">
        <f>HYPERLINK("https://abrasmedia.info/fda-odobrila-naljepnice-da-jogurt-moze-smanjiti-rizik-od-dijabetesa-tip-2-naucnici-smatraju-odluku-diskutabilnom/")</f>
        <v>https://abrasmedia.info/fda-odobrila-naljepnice-da-jogurt-moze-smanjiti-rizik-od-dijabetesa-tip-2-naucnici-smatraju-odluku-diskutabilnom/</v>
      </c>
      <c r="C828" s="2" t="s">
        <v>912</v>
      </c>
      <c r="D828" s="3">
        <v>45355.2503125</v>
      </c>
      <c r="E828" s="2" t="s">
        <v>913</v>
      </c>
    </row>
    <row r="829" spans="1:5" ht="70" x14ac:dyDescent="0.2">
      <c r="A829" s="2" t="s">
        <v>2976</v>
      </c>
      <c r="B829" s="2" t="str">
        <f>HYPERLINK("https://www.nacional.hr/kontroverzna-odluka-jogurt-se-smije-reklamirati-zbog-povoljnog-djelovanja-na-rizik-od-dijabetesa-tip-2/")</f>
        <v>https://www.nacional.hr/kontroverzna-odluka-jogurt-se-smije-reklamirati-zbog-povoljnog-djelovanja-na-rizik-od-dijabetesa-tip-2/</v>
      </c>
      <c r="C829" s="2" t="s">
        <v>2977</v>
      </c>
      <c r="D829" s="3">
        <v>45355.261921296304</v>
      </c>
      <c r="E829" s="2" t="s">
        <v>2978</v>
      </c>
    </row>
    <row r="830" spans="1:5" ht="70" x14ac:dyDescent="0.2">
      <c r="A830" s="2" t="s">
        <v>2359</v>
      </c>
      <c r="B830" s="2" t="str">
        <f>HYPERLINK("https://magazin.hrt.hr/zanimljivosti/jogurt-moze-povoljno-djelovati-na-rizik-za-dijabetes-tip-2-11395690")</f>
        <v>https://magazin.hrt.hr/zanimljivosti/jogurt-moze-povoljno-djelovati-na-rizik-za-dijabetes-tip-2-11395690</v>
      </c>
      <c r="C830" s="2" t="s">
        <v>3041</v>
      </c>
      <c r="D830" s="3">
        <v>45355.290092592593</v>
      </c>
      <c r="E830" s="2" t="s">
        <v>2529</v>
      </c>
    </row>
    <row r="831" spans="1:5" ht="98" x14ac:dyDescent="0.2">
      <c r="A831" s="2" t="s">
        <v>826</v>
      </c>
      <c r="B831" s="2" t="str">
        <f>HYPERLINK("https://krdo.com/news/2024/03/04/yogurts-can-now-make-limited-claim-that-they-lower-type-2-diabetes-risk-fda-says-2/")</f>
        <v>https://krdo.com/news/2024/03/04/yogurts-can-now-make-limited-claim-that-they-lower-type-2-diabetes-risk-fda-says-2/</v>
      </c>
      <c r="C831" s="2" t="s">
        <v>2558</v>
      </c>
      <c r="D831" s="3">
        <v>45355.292453703703</v>
      </c>
      <c r="E831" s="2" t="s">
        <v>378</v>
      </c>
    </row>
    <row r="832" spans="1:5" ht="98" x14ac:dyDescent="0.2">
      <c r="A832" s="2" t="s">
        <v>2769</v>
      </c>
      <c r="B832" s="2" t="str">
        <f>HYPERLINK("https://www.wishtv.com/news/fda-yogurts-can-now-make-limited-claims-that-they-lower-type-2-diabetes-risk/")</f>
        <v>https://www.wishtv.com/news/fda-yogurts-can-now-make-limited-claims-that-they-lower-type-2-diabetes-risk/</v>
      </c>
      <c r="C832" s="2" t="s">
        <v>2768</v>
      </c>
      <c r="D832" s="3">
        <v>45355.2965625</v>
      </c>
      <c r="E832" s="2" t="s">
        <v>378</v>
      </c>
    </row>
    <row r="833" spans="1:5" ht="70" x14ac:dyDescent="0.2">
      <c r="A833" s="2" t="s">
        <v>3860</v>
      </c>
      <c r="B833" s="2" t="str">
        <f>HYPERLINK("https://n1info.ba/zdravlje/potvrdjeno-je-jogurt-moze-smanjiti-rizik-od-dijabetesa-tipa-2/")</f>
        <v>https://n1info.ba/zdravlje/potvrdjeno-je-jogurt-moze-smanjiti-rizik-od-dijabetesa-tipa-2/</v>
      </c>
      <c r="C833" s="2" t="s">
        <v>3866</v>
      </c>
      <c r="D833" s="3">
        <v>45355.313090277778</v>
      </c>
      <c r="E833" s="2" t="s">
        <v>234</v>
      </c>
    </row>
    <row r="834" spans="1:5" ht="70" x14ac:dyDescent="0.2">
      <c r="A834" s="2" t="s">
        <v>232</v>
      </c>
      <c r="B834" s="2" t="str">
        <f>HYPERLINK("https://hayat.ba/potvrdeno-je-jogurt-moze-smanjiti-rizik-od-dijabetesa-tipa-2/1125985/")</f>
        <v>https://hayat.ba/potvrdeno-je-jogurt-moze-smanjiti-rizik-od-dijabetesa-tipa-2/1125985/</v>
      </c>
      <c r="C834" s="2" t="s">
        <v>2386</v>
      </c>
      <c r="D834" s="3">
        <v>45355.315324074072</v>
      </c>
      <c r="E834" s="2" t="s">
        <v>234</v>
      </c>
    </row>
    <row r="835" spans="1:5" ht="140" x14ac:dyDescent="0.2">
      <c r="A835" s="2" t="s">
        <v>2359</v>
      </c>
      <c r="B835" s="2" t="str">
        <f>HYPERLINK("https://ezadar.net.hr/lifestyle/4432407/jogurt-moze-povoljno-djelovati-na-rizik-za-dijabetes-tip-2/")</f>
        <v>https://ezadar.net.hr/lifestyle/4432407/jogurt-moze-povoljno-djelovati-na-rizik-za-dijabetes-tip-2/</v>
      </c>
      <c r="C835" s="2" t="s">
        <v>3192</v>
      </c>
      <c r="D835" s="3">
        <v>45355.358877314808</v>
      </c>
      <c r="E835" s="2" t="s">
        <v>3193</v>
      </c>
    </row>
    <row r="836" spans="1:5" ht="84" x14ac:dyDescent="0.2">
      <c r="A836" s="2" t="s">
        <v>740</v>
      </c>
      <c r="B836" s="2" t="str">
        <f>HYPERLINK("https://www.healthday.com/health-news/nutrition/yogurt-makers-can-make-limited-claims-about-type-2-diabetes-prevention-fda")</f>
        <v>https://www.healthday.com/health-news/nutrition/yogurt-makers-can-make-limited-claims-about-type-2-diabetes-prevention-fda</v>
      </c>
      <c r="C836" s="2" t="s">
        <v>2302</v>
      </c>
      <c r="D836" s="3">
        <v>45355.359548611108</v>
      </c>
      <c r="E836" s="2" t="s">
        <v>742</v>
      </c>
    </row>
    <row r="837" spans="1:5" ht="56" x14ac:dyDescent="0.2">
      <c r="A837" s="2" t="s">
        <v>845</v>
      </c>
      <c r="B837" s="2" t="str">
        <f>HYPERLINK("https://medriva.com/health/fda-greenlights-limited-health-claims-for-yogurt-in-type-2-diabetes-prevention")</f>
        <v>https://medriva.com/health/fda-greenlights-limited-health-claims-for-yogurt-in-type-2-diabetes-prevention</v>
      </c>
      <c r="C837" s="2" t="s">
        <v>840</v>
      </c>
      <c r="D837" s="3">
        <v>45355.377962962957</v>
      </c>
      <c r="E837" s="2" t="s">
        <v>846</v>
      </c>
    </row>
    <row r="838" spans="1:5" ht="84" x14ac:dyDescent="0.2">
      <c r="A838" s="2" t="s">
        <v>1476</v>
      </c>
      <c r="B838" s="2" t="str">
        <f>HYPERLINK("https://alsat.mk/kosi-mund-te-zvogeloje-rrezikun-e-diabetit-te-tipit-2/")</f>
        <v>https://alsat.mk/kosi-mund-te-zvogeloje-rrezikun-e-diabetit-te-tipit-2/</v>
      </c>
      <c r="C838" s="2" t="s">
        <v>1477</v>
      </c>
      <c r="D838" s="3">
        <v>45355.385254629633</v>
      </c>
      <c r="E838" s="2" t="s">
        <v>1478</v>
      </c>
    </row>
    <row r="839" spans="1:5" ht="42" x14ac:dyDescent="0.2">
      <c r="A839" s="2" t="s">
        <v>364</v>
      </c>
      <c r="B839" s="2" t="str">
        <f>HYPERLINK("https://news-block.com/yogurt-can-now-declare-it-would-possibly-shed-the-chance-of-diabetes/")</f>
        <v>https://news-block.com/yogurt-can-now-declare-it-would-possibly-shed-the-chance-of-diabetes/</v>
      </c>
      <c r="C839" s="2" t="s">
        <v>365</v>
      </c>
      <c r="D839" s="3">
        <v>45355.407442129632</v>
      </c>
      <c r="E839" s="2" t="s">
        <v>366</v>
      </c>
    </row>
    <row r="840" spans="1:5" ht="84" x14ac:dyDescent="0.2">
      <c r="A840" s="2" t="s">
        <v>740</v>
      </c>
      <c r="B840" s="2" t="str">
        <f>HYPERLINK("https://www.usnews.com/news/health-news/articles/2024-03-04/yogurt-makers-can-make-limited-claims-about-type-2-diabetes-prevention-fda")</f>
        <v>https://www.usnews.com/news/health-news/articles/2024-03-04/yogurt-makers-can-make-limited-claims-about-type-2-diabetes-prevention-fda</v>
      </c>
      <c r="C840" s="2" t="s">
        <v>3612</v>
      </c>
      <c r="D840" s="3">
        <v>45355.422094907408</v>
      </c>
      <c r="E840" s="2" t="s">
        <v>742</v>
      </c>
    </row>
    <row r="841" spans="1:5" ht="70" x14ac:dyDescent="0.2">
      <c r="A841" s="2" t="s">
        <v>3153</v>
      </c>
      <c r="B841" s="2" t="str">
        <f>HYPERLINK("https://slobodnadalmacija.hr/mozaik/zdravlje/fda-jogurt-moze-povoljno-djelovati-na-rizik-za-dijabetes-tip-2-bolest-koja-pogada-oko-462-milijuna-ljudi-u-svijetu-1369323")</f>
        <v>https://slobodnadalmacija.hr/mozaik/zdravlje/fda-jogurt-moze-povoljno-djelovati-na-rizik-za-dijabetes-tip-2-bolest-koja-pogada-oko-462-milijuna-ljudi-u-svijetu-1369323</v>
      </c>
      <c r="C841" s="2" t="s">
        <v>3154</v>
      </c>
      <c r="D841" s="3">
        <v>45355.451145833344</v>
      </c>
      <c r="E841" s="2" t="s">
        <v>2361</v>
      </c>
    </row>
    <row r="842" spans="1:5" ht="70" x14ac:dyDescent="0.2">
      <c r="A842" s="2" t="s">
        <v>232</v>
      </c>
      <c r="B842" s="2" t="str">
        <f>HYPERLINK("https://znamo.ba/potvrdeno-je-jogurt-moze-smanjiti-rizik-od-dijabetesa-tipa-2/")</f>
        <v>https://znamo.ba/potvrdeno-je-jogurt-moze-smanjiti-rizik-od-dijabetesa-tipa-2/</v>
      </c>
      <c r="C842" s="2" t="s">
        <v>233</v>
      </c>
      <c r="D842" s="3">
        <v>45355.457199074073</v>
      </c>
      <c r="E842" s="2" t="s">
        <v>234</v>
      </c>
    </row>
    <row r="843" spans="1:5" ht="98" x14ac:dyDescent="0.2">
      <c r="A843" s="2" t="s">
        <v>3363</v>
      </c>
      <c r="B843" s="2" t="str">
        <f>HYPERLINK("https://www.eluniverso.com/larevista/salud/el-yogur-puede-reducir-el-riesgo-de-diabetes-tipo-2-nota/")</f>
        <v>https://www.eluniverso.com/larevista/salud/el-yogur-puede-reducir-el-riesgo-de-diabetes-tipo-2-nota/</v>
      </c>
      <c r="C843" s="2" t="s">
        <v>3364</v>
      </c>
      <c r="D843" s="3">
        <v>45355.466550925928</v>
      </c>
      <c r="E843" s="2" t="s">
        <v>3365</v>
      </c>
    </row>
    <row r="844" spans="1:5" ht="126" x14ac:dyDescent="0.2">
      <c r="A844" s="2" t="s">
        <v>826</v>
      </c>
      <c r="B844" s="2" t="str">
        <f>HYPERLINK("https://www.eastidahonews.com/2024/03/yogurts-can-now-make-limited-claim-that-they-lower-type-2-diabetes-risk-fda-says/")</f>
        <v>https://www.eastidahonews.com/2024/03/yogurts-can-now-make-limited-claim-that-they-lower-type-2-diabetes-risk-fda-says/</v>
      </c>
      <c r="C844" s="2" t="s">
        <v>2845</v>
      </c>
      <c r="D844" s="3">
        <v>45355.47828703704</v>
      </c>
      <c r="E844" s="2" t="s">
        <v>1181</v>
      </c>
    </row>
    <row r="845" spans="1:5" ht="98" x14ac:dyDescent="0.2">
      <c r="A845" s="2" t="s">
        <v>826</v>
      </c>
      <c r="B845" s="2" t="str">
        <f>HYPERLINK("https://www.phillytrib.com/news/health/yogurts-can-now-make-limited-claim-that-they-lower-type-2-diabetes-risk-fda-says/article_34793679-9efa-5ada-8f46-6a22c1fc0901.html")</f>
        <v>https://www.phillytrib.com/news/health/yogurts-can-now-make-limited-claim-that-they-lower-type-2-diabetes-risk-fda-says/article_34793679-9efa-5ada-8f46-6a22c1fc0901.html</v>
      </c>
      <c r="C845" s="2" t="s">
        <v>2047</v>
      </c>
      <c r="D845" s="3">
        <v>45355.487650462957</v>
      </c>
      <c r="E845" s="2" t="s">
        <v>378</v>
      </c>
    </row>
    <row r="846" spans="1:5" ht="84" x14ac:dyDescent="0.2">
      <c r="A846" s="2" t="s">
        <v>3050</v>
      </c>
      <c r="B846" s="2" t="str">
        <f>HYPERLINK("https://radiosarajevo.ba/magazin/zivot-i-stil/fda-ova-namirnica-moze-povoljno-djelovati-na-rizik-za-dijabetes-tip-2/535631")</f>
        <v>https://radiosarajevo.ba/magazin/zivot-i-stil/fda-ova-namirnica-moze-povoljno-djelovati-na-rizik-za-dijabetes-tip-2/535631</v>
      </c>
      <c r="C846" s="2" t="s">
        <v>3051</v>
      </c>
      <c r="D846" s="3">
        <v>45355.515717592592</v>
      </c>
      <c r="E846" s="2" t="s">
        <v>3052</v>
      </c>
    </row>
    <row r="847" spans="1:5" ht="84" x14ac:dyDescent="0.2">
      <c r="A847" s="2" t="s">
        <v>3062</v>
      </c>
      <c r="B847" s="2" t="str">
        <f>HYPERLINK("https://medicalxpress.com/news/2024-03-yogurt-makers-limited-diabetes-fda.html")</f>
        <v>https://medicalxpress.com/news/2024-03-yogurt-makers-limited-diabetes-fda.html</v>
      </c>
      <c r="C847" s="2" t="s">
        <v>3063</v>
      </c>
      <c r="D847" s="3">
        <v>45355.5159375</v>
      </c>
      <c r="E847" s="2" t="s">
        <v>3064</v>
      </c>
    </row>
    <row r="848" spans="1:5" ht="70" x14ac:dyDescent="0.2">
      <c r="A848" s="2" t="s">
        <v>847</v>
      </c>
      <c r="B848" s="2" t="str">
        <f>HYPERLINK("https://medriva.com/nutrition/spoonful-of-promise-fda-greenlights-limited-health-claims-for-yogurt-in-diabetes-prevention")</f>
        <v>https://medriva.com/nutrition/spoonful-of-promise-fda-greenlights-limited-health-claims-for-yogurt-in-diabetes-prevention</v>
      </c>
      <c r="C848" s="2" t="s">
        <v>840</v>
      </c>
      <c r="D848" s="3">
        <v>45355.522812499999</v>
      </c>
      <c r="E848" s="2" t="s">
        <v>848</v>
      </c>
    </row>
    <row r="849" spans="1:5" ht="84" x14ac:dyDescent="0.2">
      <c r="A849" s="2" t="s">
        <v>3678</v>
      </c>
      <c r="B849" s="2" t="str">
        <f>HYPERLINK("https://www.dailymail.co.uk/health/article-13155581/FDA-allows-YOGURT-labels-claim-snack-reduce-risk-diabetes-despite-loaded-sugar-CAUSES-condition.html")</f>
        <v>https://www.dailymail.co.uk/health/article-13155581/FDA-allows-YOGURT-labels-claim-snack-reduce-risk-diabetes-despite-loaded-sugar-CAUSES-condition.html</v>
      </c>
      <c r="C849" s="2" t="s">
        <v>3655</v>
      </c>
      <c r="D849" s="3">
        <v>45355.525462962964</v>
      </c>
      <c r="E849" s="2" t="s">
        <v>3679</v>
      </c>
    </row>
    <row r="850" spans="1:5" ht="56" x14ac:dyDescent="0.2">
      <c r="A850" s="2" t="s">
        <v>926</v>
      </c>
      <c r="B850" s="2" t="str">
        <f>HYPERLINK("https://noticiasya.com/2024/03/04/yogures-reducen-riesgo-de-diabetes-tipo-2-dice-fda-trax/")</f>
        <v>https://noticiasya.com/2024/03/04/yogures-reducen-riesgo-de-diabetes-tipo-2-dice-fda-trax/</v>
      </c>
      <c r="C850" s="2" t="s">
        <v>927</v>
      </c>
      <c r="D850" s="3">
        <v>45355.533553240741</v>
      </c>
      <c r="E850" s="2" t="s">
        <v>459</v>
      </c>
    </row>
    <row r="851" spans="1:5" ht="84" x14ac:dyDescent="0.2">
      <c r="A851" s="2" t="s">
        <v>1613</v>
      </c>
      <c r="B851" s="2" t="str">
        <f>HYPERLINK("https://www.foodmanufacturing.com/labeling/news/22888899/fda-allows-qualified-diabetes-risk-claims-on-yogurt")</f>
        <v>https://www.foodmanufacturing.com/labeling/news/22888899/fda-allows-qualified-diabetes-risk-claims-on-yogurt</v>
      </c>
      <c r="C851" s="2" t="s">
        <v>1614</v>
      </c>
      <c r="D851" s="3">
        <v>45355.54241898148</v>
      </c>
      <c r="E851" s="2" t="s">
        <v>1237</v>
      </c>
    </row>
    <row r="852" spans="1:5" ht="70" x14ac:dyDescent="0.2">
      <c r="A852" s="2" t="s">
        <v>232</v>
      </c>
      <c r="B852" s="2" t="str">
        <f>HYPERLINK("https://033.ba/potvrdeno-je-jogurt-moze-smanjiti-rizik-od-dijabetesa-tipa-2/")</f>
        <v>https://033.ba/potvrdeno-je-jogurt-moze-smanjiti-rizik-od-dijabetesa-tipa-2/</v>
      </c>
      <c r="C852" s="2" t="s">
        <v>3970</v>
      </c>
      <c r="D852" s="3">
        <v>45355.544212962966</v>
      </c>
      <c r="E852" s="2" t="s">
        <v>234</v>
      </c>
    </row>
    <row r="853" spans="1:5" ht="70" x14ac:dyDescent="0.2">
      <c r="A853" s="2" t="s">
        <v>232</v>
      </c>
      <c r="B853" s="2" t="str">
        <f>HYPERLINK("https://izvor.ba/potvrdeno-je-jogurt-moze-smanjiti-rizik-od-dijabetesa-tipa-2/")</f>
        <v>https://izvor.ba/potvrdeno-je-jogurt-moze-smanjiti-rizik-od-dijabetesa-tipa-2/</v>
      </c>
      <c r="C853" s="2" t="s">
        <v>3930</v>
      </c>
      <c r="D853" s="3">
        <v>45355.624803240738</v>
      </c>
      <c r="E853" s="2" t="s">
        <v>234</v>
      </c>
    </row>
    <row r="854" spans="1:5" ht="98" x14ac:dyDescent="0.2">
      <c r="A854" s="2" t="s">
        <v>1606</v>
      </c>
      <c r="B854" s="2" t="str">
        <f>HYPERLINK("https://www.infobae.com/salud/2024/03/04/los-fabricantes-de-yogur-pueden-hacer-afirmaciones-limitadas-sobre-la-prevencion-de-la-diabetes-tipo-2-fda/")</f>
        <v>https://www.infobae.com/salud/2024/03/04/los-fabricantes-de-yogur-pueden-hacer-afirmaciones-limitadas-sobre-la-prevencion-de-la-diabetes-tipo-2-fda/</v>
      </c>
      <c r="C854" s="2" t="s">
        <v>3689</v>
      </c>
      <c r="D854" s="3">
        <v>45355.663993055547</v>
      </c>
      <c r="E854" s="2" t="s">
        <v>1607</v>
      </c>
    </row>
    <row r="855" spans="1:5" ht="98" x14ac:dyDescent="0.2">
      <c r="A855" s="2" t="s">
        <v>1606</v>
      </c>
      <c r="B855" s="2" t="str">
        <f>HYPERLINK("https://lado.mx/noticia.php?id=15408353")</f>
        <v>https://lado.mx/noticia.php?id=15408353</v>
      </c>
      <c r="C855" s="2" t="s">
        <v>1599</v>
      </c>
      <c r="D855" s="3">
        <v>45355.666365740741</v>
      </c>
      <c r="E855" s="2" t="s">
        <v>1607</v>
      </c>
    </row>
    <row r="856" spans="1:5" ht="84" x14ac:dyDescent="0.2">
      <c r="A856" s="2" t="s">
        <v>740</v>
      </c>
      <c r="B856" s="2" t="str">
        <f>HYPERLINK("https://thehealthcast.com/diabetes/yogurt-makers-can-make-limited-claims-about-type-2-diabetes-prevention-fda/")</f>
        <v>https://thehealthcast.com/diabetes/yogurt-makers-can-make-limited-claims-about-type-2-diabetes-prevention-fda/</v>
      </c>
      <c r="C856" s="2" t="s">
        <v>741</v>
      </c>
      <c r="D856" s="3">
        <v>45355.706192129634</v>
      </c>
      <c r="E856" s="2" t="s">
        <v>742</v>
      </c>
    </row>
    <row r="857" spans="1:5" ht="84" x14ac:dyDescent="0.2">
      <c r="A857" s="2" t="s">
        <v>3809</v>
      </c>
      <c r="B857" s="2" t="str">
        <f>HYPERLINK("https://kukuriku.com.mk/hranata-shto-chesto-ja-koristime-mozhe-da-ima-korisen-efekt-vrz-rizikot-od-dijabetes-tip-2/")</f>
        <v>https://kukuriku.com.mk/hranata-shto-chesto-ja-koristime-mozhe-da-ima-korisen-efekt-vrz-rizikot-od-dijabetes-tip-2/</v>
      </c>
      <c r="C857" s="2" t="s">
        <v>3810</v>
      </c>
      <c r="D857" s="3">
        <v>45355.720856481479</v>
      </c>
      <c r="E857" s="2" t="s">
        <v>3811</v>
      </c>
    </row>
    <row r="858" spans="1:5" ht="84" x14ac:dyDescent="0.2">
      <c r="A858" s="2" t="s">
        <v>740</v>
      </c>
      <c r="B858" s="2" t="str">
        <f>HYPERLINK("https://weeklysauce.com/yogurt-makers-can-make-limited-claims-about-type-2-diabetes-prevention-fda/")</f>
        <v>https://weeklysauce.com/yogurt-makers-can-make-limited-claims-about-type-2-diabetes-prevention-fda/</v>
      </c>
      <c r="C858" s="2" t="s">
        <v>808</v>
      </c>
      <c r="D858" s="3">
        <v>45355.736747685187</v>
      </c>
      <c r="E858" s="2" t="s">
        <v>742</v>
      </c>
    </row>
    <row r="859" spans="1:5" ht="70" x14ac:dyDescent="0.2">
      <c r="A859" s="2" t="s">
        <v>889</v>
      </c>
      <c r="B859" s="2" t="str">
        <f>HYPERLINK("https://www.healthday.com/healthpro-news/diabetes/fda-says-yogurt-makers-can-make-qualified-claims-about-t2d-prevention")</f>
        <v>https://www.healthday.com/healthpro-news/diabetes/fda-says-yogurt-makers-can-make-qualified-claims-about-t2d-prevention</v>
      </c>
      <c r="C859" s="2" t="s">
        <v>2302</v>
      </c>
      <c r="D859" s="3">
        <v>45355.7419212963</v>
      </c>
      <c r="E859" s="2" t="s">
        <v>2303</v>
      </c>
    </row>
    <row r="860" spans="1:5" ht="84" x14ac:dyDescent="0.2">
      <c r="A860" s="2" t="s">
        <v>839</v>
      </c>
      <c r="B860" s="2" t="str">
        <f>HYPERLINK("https://medriva.com/nutrition/fda-greenlights-yogurts-potential-to-cut-type-2-diabetes-risk-a-balanced-spoonful-of-science-and-skepticism")</f>
        <v>https://medriva.com/nutrition/fda-greenlights-yogurts-potential-to-cut-type-2-diabetes-risk-a-balanced-spoonful-of-science-and-skepticism</v>
      </c>
      <c r="C860" s="2" t="s">
        <v>840</v>
      </c>
      <c r="D860" s="3">
        <v>45355.770601851851</v>
      </c>
      <c r="E860" s="2" t="s">
        <v>814</v>
      </c>
    </row>
    <row r="861" spans="1:5" ht="84" x14ac:dyDescent="0.2">
      <c r="A861" s="2" t="s">
        <v>813</v>
      </c>
      <c r="B861" s="2" t="str">
        <f>HYPERLINK("https://health-reporter.news/a-balanced-spoonful-of-science-and-skepticism/")</f>
        <v>https://health-reporter.news/a-balanced-spoonful-of-science-and-skepticism/</v>
      </c>
      <c r="C861" s="2" t="s">
        <v>222</v>
      </c>
      <c r="D861" s="3">
        <v>45355.773912037039</v>
      </c>
      <c r="E861" s="2" t="s">
        <v>814</v>
      </c>
    </row>
    <row r="862" spans="1:5" ht="70" x14ac:dyDescent="0.2">
      <c r="A862" s="2" t="s">
        <v>1515</v>
      </c>
      <c r="B862" s="2" t="str">
        <f>HYPERLINK("https://www.mcknightsseniorliving.com/home/news/healthday-news/fda-says-yogurt-makers-can-make-qualified-claims-about-t2d-prevention/")</f>
        <v>https://www.mcknightsseniorliving.com/home/news/healthday-news/fda-says-yogurt-makers-can-make-qualified-claims-about-t2d-prevention/</v>
      </c>
      <c r="C862" s="2" t="s">
        <v>1516</v>
      </c>
      <c r="D862" s="3">
        <v>45355.950254629628</v>
      </c>
      <c r="E862" s="2" t="s">
        <v>891</v>
      </c>
    </row>
    <row r="863" spans="1:5" ht="84" x14ac:dyDescent="0.2">
      <c r="A863" s="2" t="s">
        <v>538</v>
      </c>
      <c r="B863" s="2" t="str">
        <f>HYPERLINK("https://ninafm.cl/2024/03/05/ozempic-los-riesgos-y-cambios-a-nivel-cerebral-que-produce-el-medicamento-de-moda-para-bajar-de-peso/")</f>
        <v>https://ninafm.cl/2024/03/05/ozempic-los-riesgos-y-cambios-a-nivel-cerebral-que-produce-el-medicamento-de-moda-para-bajar-de-peso/</v>
      </c>
      <c r="C863" s="2" t="s">
        <v>539</v>
      </c>
      <c r="D863" s="3">
        <v>45355.950497685182</v>
      </c>
      <c r="E863" s="2" t="s">
        <v>540</v>
      </c>
    </row>
    <row r="864" spans="1:5" ht="224" x14ac:dyDescent="0.2">
      <c r="A864" s="2" t="s">
        <v>740</v>
      </c>
      <c r="B864" s="2" t="str">
        <f>HYPERLINK("https://www.medicinenet.com/yogurt_can_have_claims_about_type_2_diabetes/news.htm")</f>
        <v>https://www.medicinenet.com/yogurt_can_have_claims_about_type_2_diabetes/news.htm</v>
      </c>
      <c r="C864" s="2" t="s">
        <v>3404</v>
      </c>
      <c r="D864" s="3">
        <v>45356</v>
      </c>
      <c r="E864" s="2" t="s">
        <v>3405</v>
      </c>
    </row>
    <row r="865" spans="1:5" ht="70" x14ac:dyDescent="0.2">
      <c r="A865" s="2" t="s">
        <v>127</v>
      </c>
      <c r="B865" s="2" t="str">
        <f>HYPERLINK("https://bitebi.com/how-the-food-industry-exerts-influence-i-food-and-nutrition-professionals-potato-industry/")</f>
        <v>https://bitebi.com/how-the-food-industry-exerts-influence-i-food-and-nutrition-professionals-potato-industry/</v>
      </c>
      <c r="C865" s="2" t="s">
        <v>15</v>
      </c>
      <c r="D865" s="3">
        <v>45356.026805555557</v>
      </c>
      <c r="E865" s="2" t="s">
        <v>128</v>
      </c>
    </row>
    <row r="866" spans="1:5" ht="70" x14ac:dyDescent="0.2">
      <c r="A866" s="2" t="s">
        <v>3858</v>
      </c>
      <c r="B866" s="2" t="str">
        <f>HYPERLINK("https://press.ba/nakon-pet-godina-istrazivanja-namirnica-koju-cesto-koristimo-mogla-bi-povoljno-djelovati-na-rizik-za-dijabetesa-ali/")</f>
        <v>https://press.ba/nakon-pet-godina-istrazivanja-namirnica-koju-cesto-koristimo-mogla-bi-povoljno-djelovati-na-rizik-za-dijabetesa-ali/</v>
      </c>
      <c r="C866" s="2" t="s">
        <v>3859</v>
      </c>
      <c r="D866" s="3">
        <v>45356.055347222216</v>
      </c>
      <c r="E866" s="2" t="s">
        <v>1383</v>
      </c>
    </row>
    <row r="867" spans="1:5" ht="112" x14ac:dyDescent="0.2">
      <c r="A867" s="2" t="s">
        <v>91</v>
      </c>
      <c r="B867" s="2" t="str">
        <f>HYPERLINK("https://www.dtnext.in/lifestyle/wellbeing/yogurts-can-make-limited-claim-that-the-food-reduces-risk-of-type-2-diabetes-fda-says-772008")</f>
        <v>https://www.dtnext.in/lifestyle/wellbeing/yogurts-can-make-limited-claim-that-the-food-reduces-risk-of-type-2-diabetes-fda-says-772008</v>
      </c>
      <c r="C867" s="2" t="s">
        <v>2772</v>
      </c>
      <c r="D867" s="3">
        <v>45356.092499999999</v>
      </c>
      <c r="E867" s="2" t="s">
        <v>2773</v>
      </c>
    </row>
    <row r="868" spans="1:5" ht="70" x14ac:dyDescent="0.2">
      <c r="A868" s="2" t="s">
        <v>1530</v>
      </c>
      <c r="B868" s="2" t="str">
        <f>HYPERLINK("https://www.physiciansweekly.com/fda-says-yogurt-makers-can-make-qualified-claims-about-t2d-prevention/")</f>
        <v>https://www.physiciansweekly.com/fda-says-yogurt-makers-can-make-qualified-claims-about-t2d-prevention/</v>
      </c>
      <c r="C868" s="2" t="s">
        <v>1531</v>
      </c>
      <c r="D868" s="3">
        <v>45356.093993055547</v>
      </c>
      <c r="E868" s="2" t="s">
        <v>891</v>
      </c>
    </row>
    <row r="869" spans="1:5" ht="42" x14ac:dyDescent="0.2">
      <c r="A869" s="2" t="s">
        <v>229</v>
      </c>
      <c r="B869" s="2" t="str">
        <f>HYPERLINK("https://hartsvillenewsjournal.com/2024/03/05/fda-grants-yogurts-limited-claim-of-reducing-type-2-diabetes-risk/")</f>
        <v>https://hartsvillenewsjournal.com/2024/03/05/fda-grants-yogurts-limited-claim-of-reducing-type-2-diabetes-risk/</v>
      </c>
      <c r="C869" s="2" t="s">
        <v>230</v>
      </c>
      <c r="D869" s="3">
        <v>45356.251909722218</v>
      </c>
      <c r="E869" s="2" t="s">
        <v>231</v>
      </c>
    </row>
    <row r="870" spans="1:5" ht="70" x14ac:dyDescent="0.2">
      <c r="A870" s="2" t="s">
        <v>943</v>
      </c>
      <c r="B870" s="2" t="str">
        <f>HYPERLINK("https://radiohuancavilca.com.ec/el-yogur-como-aliado-contra-la-diabetes-tipo-2-que-dicen-los-expertos/")</f>
        <v>https://radiohuancavilca.com.ec/el-yogur-como-aliado-contra-la-diabetes-tipo-2-que-dicen-los-expertos/</v>
      </c>
      <c r="C870" s="2" t="s">
        <v>1579</v>
      </c>
      <c r="D870" s="3">
        <v>45356.31013888889</v>
      </c>
      <c r="E870" s="2" t="s">
        <v>1116</v>
      </c>
    </row>
    <row r="871" spans="1:5" ht="70" x14ac:dyDescent="0.2">
      <c r="A871" s="2" t="s">
        <v>889</v>
      </c>
      <c r="B871" s="2" t="str">
        <f>HYPERLINK("https://www.empr.com/home/news/fda-says-yogurt-makers-can-make-qualified-claims-about-t2d-prevention/")</f>
        <v>https://www.empr.com/home/news/fda-says-yogurt-makers-can-make-qualified-claims-about-t2d-prevention/</v>
      </c>
      <c r="C871" s="2" t="s">
        <v>2444</v>
      </c>
      <c r="D871" s="3">
        <v>45356.375</v>
      </c>
      <c r="E871" s="2" t="s">
        <v>891</v>
      </c>
    </row>
    <row r="872" spans="1:5" ht="70" x14ac:dyDescent="0.2">
      <c r="A872" s="2" t="s">
        <v>943</v>
      </c>
      <c r="B872" s="2" t="str">
        <f>HYPERLINK("https://www.elcaribe.com.do/panorama/salud/el-yogur-como-aliado-contra-la-diabetes-tipo-2-que-dicen-los-expertos/")</f>
        <v>https://www.elcaribe.com.do/panorama/salud/el-yogur-como-aliado-contra-la-diabetes-tipo-2-que-dicen-los-expertos/</v>
      </c>
      <c r="C872" s="2" t="s">
        <v>2702</v>
      </c>
      <c r="D872" s="3">
        <v>45356.396909722222</v>
      </c>
      <c r="E872" s="2" t="s">
        <v>1116</v>
      </c>
    </row>
    <row r="873" spans="1:5" ht="98" x14ac:dyDescent="0.2">
      <c r="A873" s="2" t="s">
        <v>943</v>
      </c>
      <c r="B873" s="2" t="str">
        <f>HYPERLINK("https://elveedordigital.com/el-yogur-como-aliado-contra-la-diabetes-tipo-2-que-dicen-los-expertos/")</f>
        <v>https://elveedordigital.com/el-yogur-como-aliado-contra-la-diabetes-tipo-2-que-dicen-los-expertos/</v>
      </c>
      <c r="C873" s="2" t="s">
        <v>944</v>
      </c>
      <c r="D873" s="3">
        <v>45356.579398148147</v>
      </c>
      <c r="E873" s="2" t="s">
        <v>945</v>
      </c>
    </row>
    <row r="874" spans="1:5" ht="84" x14ac:dyDescent="0.2">
      <c r="A874" s="2" t="s">
        <v>91</v>
      </c>
      <c r="B874" s="2" t="str">
        <f>HYPERLINK("https://www.latrobebulletinnews.com/ap/national/yogurts-can-make-limited-claim-that-the-food-reduces-risk-of-type-2-diabetes-fda/article_5ae4600a-f7a2-512e-a082-e0d53d1a2a9f.html")</f>
        <v>https://www.latrobebulletinnews.com/ap/national/yogurts-can-make-limited-claim-that-the-food-reduces-risk-of-type-2-diabetes-fda/article_5ae4600a-f7a2-512e-a082-e0d53d1a2a9f.html</v>
      </c>
      <c r="C874" s="2" t="s">
        <v>1231</v>
      </c>
      <c r="D874" s="3">
        <v>45356.891759259262</v>
      </c>
      <c r="E874" s="2" t="s">
        <v>558</v>
      </c>
    </row>
    <row r="875" spans="1:5" ht="70" x14ac:dyDescent="0.2">
      <c r="A875" s="2" t="s">
        <v>2387</v>
      </c>
      <c r="B875" s="2" t="str">
        <f>HYPERLINK("https://hayat.ba/namirnica-koju-cesto-koristimo-djeluje-protiv-dijabetesa/1126705/")</f>
        <v>https://hayat.ba/namirnica-koju-cesto-koristimo-djeluje-protiv-dijabetesa/1126705/</v>
      </c>
      <c r="C875" s="2" t="s">
        <v>2386</v>
      </c>
      <c r="D875" s="3">
        <v>45357.0625</v>
      </c>
      <c r="E875" s="2" t="s">
        <v>1383</v>
      </c>
    </row>
    <row r="876" spans="1:5" ht="84" x14ac:dyDescent="0.2">
      <c r="A876" s="2" t="s">
        <v>1884</v>
      </c>
      <c r="B876" s="2" t="str">
        <f>HYPERLINK("https://health.wusf.usf.edu/health-news-florida/2024-03-06/yogurts-can-make-limited-claim-that-the-food-reduces-risk-of-type-2-diabetes")</f>
        <v>https://health.wusf.usf.edu/health-news-florida/2024-03-06/yogurts-can-make-limited-claim-that-the-food-reduces-risk-of-type-2-diabetes</v>
      </c>
      <c r="C876" s="2" t="s">
        <v>1848</v>
      </c>
      <c r="D876" s="3">
        <v>45357.211851851847</v>
      </c>
      <c r="E876" s="2" t="s">
        <v>828</v>
      </c>
    </row>
    <row r="877" spans="1:5" ht="84" x14ac:dyDescent="0.2">
      <c r="A877" s="2" t="s">
        <v>4069</v>
      </c>
      <c r="B877" s="2" t="str">
        <f>HYPERLINK("https://rdsradio.hn/salud/los-fabricantes-de-yogur-pueden-hacer-afirmaciones-limitadas-sobre-la-prevencion-de-la-diabetes-tipo-2/")</f>
        <v>https://rdsradio.hn/salud/los-fabricantes-de-yogur-pueden-hacer-afirmaciones-limitadas-sobre-la-prevencion-de-la-diabetes-tipo-2/</v>
      </c>
      <c r="C877" s="2" t="s">
        <v>4070</v>
      </c>
      <c r="D877" s="3">
        <v>45357.431296296287</v>
      </c>
      <c r="E877" s="2" t="s">
        <v>4071</v>
      </c>
    </row>
    <row r="878" spans="1:5" ht="84" x14ac:dyDescent="0.2">
      <c r="A878" s="2" t="s">
        <v>1359</v>
      </c>
      <c r="B878" s="2" t="str">
        <f>HYPERLINK("https://www.lasvolta.it/11931/il-ruolo-delle-lobby-nel-settore-agroalimentare-minaccia-lazione-climatica")</f>
        <v>https://www.lasvolta.it/11931/il-ruolo-delle-lobby-nel-settore-agroalimentare-minaccia-lazione-climatica</v>
      </c>
      <c r="C878" s="2" t="s">
        <v>1360</v>
      </c>
      <c r="D878" s="3">
        <v>45358</v>
      </c>
      <c r="E878" s="2" t="s">
        <v>1361</v>
      </c>
    </row>
    <row r="879" spans="1:5" ht="70" x14ac:dyDescent="0.2">
      <c r="A879" s="2" t="s">
        <v>1381</v>
      </c>
      <c r="B879" s="2" t="str">
        <f>HYPERLINK("https://www.otisak.ba/namirnica-koju-cesto-koristimo-djeluje-protiv-dijabetesa/")</f>
        <v>https://www.otisak.ba/namirnica-koju-cesto-koristimo-djeluje-protiv-dijabetesa/</v>
      </c>
      <c r="C879" s="2" t="s">
        <v>1382</v>
      </c>
      <c r="D879" s="3">
        <v>45358.001539351862</v>
      </c>
      <c r="E879" s="2" t="s">
        <v>1383</v>
      </c>
    </row>
    <row r="880" spans="1:5" ht="56" x14ac:dyDescent="0.2">
      <c r="A880" s="2" t="s">
        <v>3975</v>
      </c>
      <c r="B880" s="2" t="str">
        <f>HYPERLINK("https://iyamagazine.com/want-to-eat-less-processed-foods-heres-how/")</f>
        <v>https://iyamagazine.com/want-to-eat-less-processed-foods-heres-how/</v>
      </c>
      <c r="C880" s="2" t="s">
        <v>3976</v>
      </c>
      <c r="D880" s="3">
        <v>45358.255914351852</v>
      </c>
      <c r="E880" s="2" t="s">
        <v>3977</v>
      </c>
    </row>
    <row r="881" spans="1:5" ht="42" x14ac:dyDescent="0.2">
      <c r="A881" s="2" t="s">
        <v>2921</v>
      </c>
      <c r="B881" s="2" t="str">
        <f>HYPERLINK("https://www.timesunion.com/capitol/article/food-deserts-persist-congress-seeks-help-18701731.php")</f>
        <v>https://www.timesunion.com/capitol/article/food-deserts-persist-congress-seeks-help-18701731.php</v>
      </c>
      <c r="C881" s="2" t="s">
        <v>2922</v>
      </c>
      <c r="D881" s="3">
        <v>45358.287499999999</v>
      </c>
      <c r="E881" s="2" t="s">
        <v>2923</v>
      </c>
    </row>
    <row r="882" spans="1:5" ht="84" x14ac:dyDescent="0.2">
      <c r="A882" s="2" t="s">
        <v>1206</v>
      </c>
      <c r="B882" s="2" t="str">
        <f>HYPERLINK("https://www.infobae.com/wapo/2024/03/07/las-9-senales-de-alerta-para-identificar-alimentos-ultraprocesados/")</f>
        <v>https://www.infobae.com/wapo/2024/03/07/las-9-senales-de-alerta-para-identificar-alimentos-ultraprocesados/</v>
      </c>
      <c r="C882" s="2" t="s">
        <v>3689</v>
      </c>
      <c r="D882" s="3">
        <v>45358.382893518523</v>
      </c>
      <c r="E882" s="2" t="s">
        <v>1208</v>
      </c>
    </row>
    <row r="883" spans="1:5" ht="84" x14ac:dyDescent="0.2">
      <c r="A883" s="2" t="s">
        <v>1206</v>
      </c>
      <c r="B883" s="2" t="str">
        <f>HYPERLINK("https://lado.mx/noticia.php?id=15430736")</f>
        <v>https://lado.mx/noticia.php?id=15430736</v>
      </c>
      <c r="C883" s="2" t="s">
        <v>1599</v>
      </c>
      <c r="D883" s="3">
        <v>45358.39534722222</v>
      </c>
      <c r="E883" s="2" t="s">
        <v>1208</v>
      </c>
    </row>
    <row r="884" spans="1:5" ht="84" x14ac:dyDescent="0.2">
      <c r="A884" s="2" t="s">
        <v>3216</v>
      </c>
      <c r="B884" s="2" t="str">
        <f>HYPERLINK("https://www.g4media.ro/consumul-regulat-de-iaurt-poate-reduce-riscul-de-diabet-de-tip-2-producatorii-din-sua-au-fost-autorizati-de-autoritatea-de-reglementare-sa-includa-aceasta-mentiune-pe-produse.html")</f>
        <v>https://www.g4media.ro/consumul-regulat-de-iaurt-poate-reduce-riscul-de-diabet-de-tip-2-producatorii-din-sua-au-fost-autorizati-de-autoritatea-de-reglementare-sa-includa-aceasta-mentiune-pe-produse.html</v>
      </c>
      <c r="C884" s="2" t="s">
        <v>3214</v>
      </c>
      <c r="D884" s="3">
        <v>45358.399178240739</v>
      </c>
      <c r="E884" s="2" t="s">
        <v>3217</v>
      </c>
    </row>
    <row r="885" spans="1:5" ht="84" x14ac:dyDescent="0.2">
      <c r="A885" s="2" t="s">
        <v>1206</v>
      </c>
      <c r="B885" s="2" t="str">
        <f>HYPERLINK("https://www.elcaribe.com.do/panorama/salud/las-9-senales-de-alerta-para-identificar-alimentos-ultraprocesados/")</f>
        <v>https://www.elcaribe.com.do/panorama/salud/las-9-senales-de-alerta-para-identificar-alimentos-ultraprocesados/</v>
      </c>
      <c r="C885" s="2" t="s">
        <v>2702</v>
      </c>
      <c r="D885" s="3">
        <v>45358.457083333327</v>
      </c>
      <c r="E885" s="2" t="s">
        <v>1208</v>
      </c>
    </row>
    <row r="886" spans="1:5" ht="84" x14ac:dyDescent="0.2">
      <c r="A886" s="2" t="s">
        <v>1206</v>
      </c>
      <c r="B886" s="2" t="str">
        <f>HYPERLINK("https://lamananadigital.com/las-9-senales-de-alerta-para-identificar-alimentos-ultraprocesados/")</f>
        <v>https://lamananadigital.com/las-9-senales-de-alerta-para-identificar-alimentos-ultraprocesados/</v>
      </c>
      <c r="C886" s="2" t="s">
        <v>1207</v>
      </c>
      <c r="D886" s="3">
        <v>45358.484699074077</v>
      </c>
      <c r="E886" s="2" t="s">
        <v>1208</v>
      </c>
    </row>
    <row r="887" spans="1:5" ht="70" x14ac:dyDescent="0.2">
      <c r="A887" s="2" t="s">
        <v>3671</v>
      </c>
      <c r="B887" s="2" t="str">
        <f>HYPERLINK("https://medium.com/authority-magazine/how-nausher-khan-of-red-rabbit-is-helping-to-address-the-growing-challenge-of-food-insecurity-4f203e7d2ff9")</f>
        <v>https://medium.com/authority-magazine/how-nausher-khan-of-red-rabbit-is-helping-to-address-the-growing-challenge-of-food-insecurity-4f203e7d2ff9</v>
      </c>
      <c r="C887" s="2" t="s">
        <v>3672</v>
      </c>
      <c r="D887" s="3">
        <v>45358.543425925927</v>
      </c>
      <c r="E887" s="2" t="s">
        <v>3673</v>
      </c>
    </row>
    <row r="888" spans="1:5" ht="42" x14ac:dyDescent="0.2">
      <c r="A888" s="2" t="s">
        <v>2921</v>
      </c>
      <c r="B888" s="2" t="str">
        <f>HYPERLINK("https://dc.medill.northwestern.edu/blog/2024/03/07/food-deserts-persist-as-congress-seeks-to-help/")</f>
        <v>https://dc.medill.northwestern.edu/blog/2024/03/07/food-deserts-persist-as-congress-seeks-to-help/</v>
      </c>
      <c r="C888" s="2" t="s">
        <v>4029</v>
      </c>
      <c r="D888" s="3">
        <v>45358.608391203707</v>
      </c>
      <c r="E888" s="2" t="s">
        <v>2923</v>
      </c>
    </row>
    <row r="889" spans="1:5" ht="84" x14ac:dyDescent="0.2">
      <c r="A889" s="2" t="s">
        <v>2375</v>
      </c>
      <c r="B889" s="2" t="str">
        <f>HYPERLINK("https://leadstories.com/hoax-alert/2024/03/fact-check-sodium-bicarbonate-in-bottled-water-does-not-cause-severe-side-effects.html")</f>
        <v>https://leadstories.com/hoax-alert/2024/03/fact-check-sodium-bicarbonate-in-bottled-water-does-not-cause-severe-side-effects.html</v>
      </c>
      <c r="C889" s="2" t="s">
        <v>2376</v>
      </c>
      <c r="D889" s="3">
        <v>45358.745138888888</v>
      </c>
      <c r="E889" s="2" t="s">
        <v>2377</v>
      </c>
    </row>
    <row r="890" spans="1:5" ht="56" x14ac:dyDescent="0.2">
      <c r="A890" s="2" t="s">
        <v>439</v>
      </c>
      <c r="B890" s="2" t="str">
        <f>HYPERLINK("http://berryondairy.blogspot.com/2024/03/what-you-need-to-know-about-new.html")</f>
        <v>http://berryondairy.blogspot.com/2024/03/what-you-need-to-know-about-new.html</v>
      </c>
      <c r="C890" s="2" t="s">
        <v>440</v>
      </c>
      <c r="D890" s="3">
        <v>45359.345138888893</v>
      </c>
      <c r="E890" s="2" t="s">
        <v>441</v>
      </c>
    </row>
    <row r="891" spans="1:5" ht="56" x14ac:dyDescent="0.2">
      <c r="A891" s="2" t="s">
        <v>442</v>
      </c>
      <c r="B891" s="2" t="str">
        <f>HYPERLINK("http://berryondairy.blogspot.com/2024/03/")</f>
        <v>http://berryondairy.blogspot.com/2024/03/</v>
      </c>
      <c r="C891" s="2" t="s">
        <v>440</v>
      </c>
      <c r="D891" s="3">
        <v>45359.345138888893</v>
      </c>
      <c r="E891" s="2" t="s">
        <v>441</v>
      </c>
    </row>
    <row r="892" spans="1:5" ht="84" x14ac:dyDescent="0.2">
      <c r="A892" s="2" t="s">
        <v>206</v>
      </c>
      <c r="B892" s="2" t="str">
        <f>HYPERLINK("https://www.deleciousfood.com/fda-allows-yogurt-labels-to-claim-the-snacks-may-reduce-diabetes-risk-even-though-many-of-them-are-loaded-with-sugar-which-causes-disease/")</f>
        <v>https://www.deleciousfood.com/fda-allows-yogurt-labels-to-claim-the-snacks-may-reduce-diabetes-risk-even-though-many-of-them-are-loaded-with-sugar-which-causes-disease/</v>
      </c>
      <c r="C892" s="2" t="s">
        <v>200</v>
      </c>
      <c r="D892" s="3">
        <v>45359.479259259257</v>
      </c>
      <c r="E892" s="2" t="s">
        <v>207</v>
      </c>
    </row>
    <row r="893" spans="1:5" ht="84" x14ac:dyDescent="0.2">
      <c r="A893" s="2" t="s">
        <v>91</v>
      </c>
      <c r="B893" s="2" t="str">
        <f>HYPERLINK("https://caro.news/yogurts-can-make-limited-claim-that-the-food-reduces-risk-of-type-2-diabetes-fda-says/")</f>
        <v>https://caro.news/yogurts-can-make-limited-claim-that-the-food-reduces-risk-of-type-2-diabetes-fda-says/</v>
      </c>
      <c r="C893" s="2" t="s">
        <v>774</v>
      </c>
      <c r="D893" s="3">
        <v>45359.511666666673</v>
      </c>
      <c r="E893" s="2" t="s">
        <v>558</v>
      </c>
    </row>
    <row r="894" spans="1:5" ht="70" x14ac:dyDescent="0.2">
      <c r="A894" s="2" t="s">
        <v>44</v>
      </c>
      <c r="B894" s="2" t="str">
        <f>HYPERLINK("https://bitebi.com/how-the-food-industry-exerts-influence-v-professional-journals-infant-formula-companies/")</f>
        <v>https://bitebi.com/how-the-food-industry-exerts-influence-v-professional-journals-infant-formula-companies/</v>
      </c>
      <c r="C894" s="2" t="s">
        <v>15</v>
      </c>
      <c r="D894" s="3">
        <v>45359.691979166673</v>
      </c>
      <c r="E894" s="2" t="s">
        <v>45</v>
      </c>
    </row>
    <row r="895" spans="1:5" ht="70" x14ac:dyDescent="0.2">
      <c r="A895" s="2" t="s">
        <v>1927</v>
      </c>
      <c r="B895" s="2" t="str">
        <f>HYPERLINK("https://www.glas-javnosti.rs/zivot/zdravlje/jogurt-moze-da-ima-povoljan-efekat-na-rizik-od-dijabetesa-tipa-2")</f>
        <v>https://www.glas-javnosti.rs/zivot/zdravlje/jogurt-moze-da-ima-povoljan-efekat-na-rizik-od-dijabetesa-tipa-2</v>
      </c>
      <c r="C895" s="2" t="s">
        <v>1928</v>
      </c>
      <c r="D895" s="3">
        <v>45359.722881944443</v>
      </c>
      <c r="E895" s="2" t="s">
        <v>1929</v>
      </c>
    </row>
    <row r="896" spans="1:5" ht="84" x14ac:dyDescent="0.2">
      <c r="A896" s="2" t="s">
        <v>2971</v>
      </c>
      <c r="B896" s="2" t="str">
        <f>HYPERLINK("https://news-eng.uaportal.com/section-meditsina/news-nevozmozhno-naestsya-kak-obrabotannyie-produktyi-obmanyivayut-organizm-09-03-2024.html")</f>
        <v>https://news-eng.uaportal.com/section-meditsina/news-nevozmozhno-naestsya-kak-obrabotannyie-produktyi-obmanyivayut-organizm-09-03-2024.html</v>
      </c>
      <c r="C896" s="2" t="s">
        <v>2972</v>
      </c>
      <c r="D896" s="3">
        <v>45360.282256944447</v>
      </c>
      <c r="E896" s="2" t="s">
        <v>2973</v>
      </c>
    </row>
    <row r="897" spans="1:5" ht="70" x14ac:dyDescent="0.2">
      <c r="A897" s="2" t="s">
        <v>2974</v>
      </c>
      <c r="B897" s="2" t="str">
        <f>HYPERLINK("https://news-pol.uaportal.com/section-meditsina/news-nevozmozhno-naestsya-kak-obrabotannyie-produktyi-obmanyivayut-organizm-09-03-2024.html")</f>
        <v>https://news-pol.uaportal.com/section-meditsina/news-nevozmozhno-naestsya-kak-obrabotannyie-produktyi-obmanyivayut-organizm-09-03-2024.html</v>
      </c>
      <c r="C897" s="2" t="s">
        <v>2972</v>
      </c>
      <c r="D897" s="3">
        <v>45360.491666666669</v>
      </c>
      <c r="E897" s="2" t="s">
        <v>2975</v>
      </c>
    </row>
    <row r="898" spans="1:5" ht="70" x14ac:dyDescent="0.2">
      <c r="A898" s="2" t="s">
        <v>2387</v>
      </c>
      <c r="B898" s="2" t="str">
        <f>HYPERLINK("https://ffmo.ba/namirnica-koju-cesto-koristimo-djeluje-protiv-dijabetesa/")</f>
        <v>https://ffmo.ba/namirnica-koju-cesto-koristimo-djeluje-protiv-dijabetesa/</v>
      </c>
      <c r="C898" s="2" t="s">
        <v>3960</v>
      </c>
      <c r="D898" s="3">
        <v>45360.947858796288</v>
      </c>
      <c r="E898" s="2" t="s">
        <v>1383</v>
      </c>
    </row>
    <row r="899" spans="1:5" ht="70" x14ac:dyDescent="0.2">
      <c r="A899" s="2" t="s">
        <v>2538</v>
      </c>
      <c r="B899" s="2" t="str">
        <f>HYPERLINK("http://glas.hr/544669/16/Dobre-bakterije-u-jogurtu-brinu-se-o-probavnom-sustavu")</f>
        <v>http://glas.hr/544669/16/Dobre-bakterije-u-jogurtu-brinu-se-o-probavnom-sustavu</v>
      </c>
      <c r="C899" s="2" t="s">
        <v>3939</v>
      </c>
      <c r="D899" s="3">
        <v>45362.209467592591</v>
      </c>
      <c r="E899" s="2" t="s">
        <v>2540</v>
      </c>
    </row>
    <row r="900" spans="1:5" ht="70" x14ac:dyDescent="0.2">
      <c r="A900" s="2" t="s">
        <v>2538</v>
      </c>
      <c r="B900" s="2" t="str">
        <f>HYPERLINK("http://www.glas-slavonije.hr/544669/16/Dobre-bakterije-u-jogurtu-brinu-se-o-probavnom-sustavu")</f>
        <v>http://www.glas-slavonije.hr/544669/16/Dobre-bakterije-u-jogurtu-brinu-se-o-probavnom-sustavu</v>
      </c>
      <c r="C900" s="2" t="s">
        <v>2539</v>
      </c>
      <c r="D900" s="3">
        <v>45362.211388888893</v>
      </c>
      <c r="E900" s="2" t="s">
        <v>2540</v>
      </c>
    </row>
    <row r="901" spans="1:5" ht="84" x14ac:dyDescent="0.2">
      <c r="A901" s="2" t="s">
        <v>1583</v>
      </c>
      <c r="B901" s="2" t="str">
        <f>HYPERLINK("https://www.tdtnews.com/life/health_and_fitness/article_ed98d91a-dfa6-11ee-9996-53009ca34880.html")</f>
        <v>https://www.tdtnews.com/life/health_and_fitness/article_ed98d91a-dfa6-11ee-9996-53009ca34880.html</v>
      </c>
      <c r="C901" s="2" t="s">
        <v>1584</v>
      </c>
      <c r="D901" s="3">
        <v>45363.116423611107</v>
      </c>
      <c r="E901" s="2" t="s">
        <v>558</v>
      </c>
    </row>
    <row r="902" spans="1:5" ht="56" x14ac:dyDescent="0.2">
      <c r="A902" s="2" t="s">
        <v>49</v>
      </c>
      <c r="B902" s="2" t="str">
        <f>HYPERLINK("https://bitebi.com/fda-allows-health-claim-on-yogurts-sugary-and-not/")</f>
        <v>https://bitebi.com/fda-allows-health-claim-on-yogurts-sugary-and-not/</v>
      </c>
      <c r="C902" s="2" t="s">
        <v>15</v>
      </c>
      <c r="D902" s="3">
        <v>45363.815798611111</v>
      </c>
      <c r="E902" s="2" t="s">
        <v>50</v>
      </c>
    </row>
    <row r="903" spans="1:5" ht="84" x14ac:dyDescent="0.2">
      <c r="A903" s="2" t="s">
        <v>933</v>
      </c>
      <c r="B903" s="2" t="str">
        <f>HYPERLINK("https://valleynewstoday.com/life-entertainment/nation-world/wellness/too-much-of-a-food-thing-a-century-of-change-in-how-we-eat/article_dbc98327-65bf-5673-8011-592b4a0cfb60.html")</f>
        <v>https://valleynewstoday.com/life-entertainment/nation-world/wellness/too-much-of-a-food-thing-a-century-of-change-in-how-we-eat/article_dbc98327-65bf-5673-8011-592b4a0cfb60.html</v>
      </c>
      <c r="C903" s="2" t="s">
        <v>873</v>
      </c>
      <c r="D903" s="3">
        <v>45364</v>
      </c>
      <c r="E903" s="2" t="s">
        <v>934</v>
      </c>
    </row>
    <row r="904" spans="1:5" ht="84" x14ac:dyDescent="0.2">
      <c r="A904" s="2" t="s">
        <v>933</v>
      </c>
      <c r="B904" s="2" t="str">
        <f>HYPERLINK("https://godanriver.com/life-entertainment/nation-world/wellness/too-much-of-a-food-thing-a-century-of-change-in-how-we-eat/article_b369b356-7420-5a87-a58d-aab20b3d62fd.html")</f>
        <v>https://godanriver.com/life-entertainment/nation-world/wellness/too-much-of-a-food-thing-a-century-of-change-in-how-we-eat/article_b369b356-7420-5a87-a58d-aab20b3d62fd.html</v>
      </c>
      <c r="C904" s="2" t="s">
        <v>1362</v>
      </c>
      <c r="D904" s="3">
        <v>45364</v>
      </c>
      <c r="E904" s="2" t="s">
        <v>934</v>
      </c>
    </row>
    <row r="905" spans="1:5" ht="84" x14ac:dyDescent="0.2">
      <c r="A905" s="2" t="s">
        <v>933</v>
      </c>
      <c r="B905" s="2" t="str">
        <f>HYPERLINK("https://morganton.com/life-entertainment/nation-world/wellness/too-much-of-a-food-thing-a-century-of-change-in-how-we-eat/article_ab977f70-d9df-59f4-9a9b-c0b56f770964.html")</f>
        <v>https://morganton.com/life-entertainment/nation-world/wellness/too-much-of-a-food-thing-a-century-of-change-in-how-we-eat/article_ab977f70-d9df-59f4-9a9b-c0b56f770964.html</v>
      </c>
      <c r="C905" s="2" t="s">
        <v>1592</v>
      </c>
      <c r="D905" s="3">
        <v>45364</v>
      </c>
      <c r="E905" s="2" t="s">
        <v>934</v>
      </c>
    </row>
    <row r="906" spans="1:5" ht="84" x14ac:dyDescent="0.2">
      <c r="A906" s="2" t="s">
        <v>933</v>
      </c>
      <c r="B906" s="2" t="str">
        <f>HYPERLINK("https://hickoryrecord.com/life-entertainment/nation-world/wellness/too-much-of-a-food-thing-a-century-of-change-in-how-we-eat/article_50b2529a-ab71-5171-8c05-a3b5bec325b8.html")</f>
        <v>https://hickoryrecord.com/life-entertainment/nation-world/wellness/too-much-of-a-food-thing-a-century-of-change-in-how-we-eat/article_50b2529a-ab71-5171-8c05-a3b5bec325b8.html</v>
      </c>
      <c r="C906" s="2" t="s">
        <v>1913</v>
      </c>
      <c r="D906" s="3">
        <v>45364</v>
      </c>
      <c r="E906" s="2" t="s">
        <v>934</v>
      </c>
    </row>
    <row r="907" spans="1:5" ht="84" x14ac:dyDescent="0.2">
      <c r="A907" s="2" t="s">
        <v>933</v>
      </c>
      <c r="B907" s="2" t="str">
        <f>HYPERLINK("https://bismarcktribune.com/life-entertainment/nation-world/wellness/too-much-of-a-food-thing-a-century-of-change-in-how-we-eat/article_0fad1998-82f4-59ed-aed2-80ab52b60081.html")</f>
        <v>https://bismarcktribune.com/life-entertainment/nation-world/wellness/too-much-of-a-food-thing-a-century-of-change-in-how-we-eat/article_0fad1998-82f4-59ed-aed2-80ab52b60081.html</v>
      </c>
      <c r="C907" s="2" t="s">
        <v>1919</v>
      </c>
      <c r="D907" s="3">
        <v>45364</v>
      </c>
      <c r="E907" s="2" t="s">
        <v>934</v>
      </c>
    </row>
    <row r="908" spans="1:5" ht="84" x14ac:dyDescent="0.2">
      <c r="A908" s="2" t="s">
        <v>933</v>
      </c>
      <c r="B908" s="2" t="str">
        <f>HYPERLINK("https://qconline.com/life-entertainment/nation-world/wellness/too-much-of-a-food-thing-a-century-of-change-in-how-we-eat/article_14428034-672a-5823-8a6e-d6d4f7bb889d.html")</f>
        <v>https://qconline.com/life-entertainment/nation-world/wellness/too-much-of-a-food-thing-a-century-of-change-in-how-we-eat/article_14428034-672a-5823-8a6e-d6d4f7bb889d.html</v>
      </c>
      <c r="C908" s="2" t="s">
        <v>1977</v>
      </c>
      <c r="D908" s="3">
        <v>45364</v>
      </c>
      <c r="E908" s="2" t="s">
        <v>934</v>
      </c>
    </row>
    <row r="909" spans="1:5" ht="84" x14ac:dyDescent="0.2">
      <c r="A909" s="2" t="s">
        <v>933</v>
      </c>
      <c r="B909" s="2" t="str">
        <f>HYPERLINK("https://fredericksburg.com/life-entertainment/nation-world/wellness/too-much-of-a-food-thing-a-century-of-change-in-how-we-eat/article_812ebb32-d1eb-5b19-9a2c-15cb1012a2a3.html")</f>
        <v>https://fredericksburg.com/life-entertainment/nation-world/wellness/too-much-of-a-food-thing-a-century-of-change-in-how-we-eat/article_812ebb32-d1eb-5b19-9a2c-15cb1012a2a3.html</v>
      </c>
      <c r="C909" s="2" t="s">
        <v>1938</v>
      </c>
      <c r="D909" s="3">
        <v>45364</v>
      </c>
      <c r="E909" s="2" t="s">
        <v>934</v>
      </c>
    </row>
    <row r="910" spans="1:5" ht="84" x14ac:dyDescent="0.2">
      <c r="A910" s="2" t="s">
        <v>933</v>
      </c>
      <c r="B910" s="2" t="str">
        <f>HYPERLINK("https://qctimes.com/life-entertainment/nation-world/wellness/too-much-of-a-food-thing-a-century-of-change-in-how-we-eat/article_8d97279c-9e89-5df8-a850-f68e98b6fec5.html")</f>
        <v>https://qctimes.com/life-entertainment/nation-world/wellness/too-much-of-a-food-thing-a-century-of-change-in-how-we-eat/article_8d97279c-9e89-5df8-a850-f68e98b6fec5.html</v>
      </c>
      <c r="C910" s="2" t="s">
        <v>2322</v>
      </c>
      <c r="D910" s="3">
        <v>45364</v>
      </c>
      <c r="E910" s="2" t="s">
        <v>934</v>
      </c>
    </row>
    <row r="911" spans="1:5" ht="84" x14ac:dyDescent="0.2">
      <c r="A911" s="2" t="s">
        <v>933</v>
      </c>
      <c r="B911" s="2" t="str">
        <f>HYPERLINK("https://pressofatlanticcity.com/life-entertainment/nation-world/wellness/too-much-of-a-food-thing-a-century-of-change-in-how-we-eat/article_650104f5-0956-5371-a4c5-8d189d3fd266.html")</f>
        <v>https://pressofatlanticcity.com/life-entertainment/nation-world/wellness/too-much-of-a-food-thing-a-century-of-change-in-how-we-eat/article_650104f5-0956-5371-a4c5-8d189d3fd266.html</v>
      </c>
      <c r="C911" s="2" t="s">
        <v>2191</v>
      </c>
      <c r="D911" s="3">
        <v>45364</v>
      </c>
      <c r="E911" s="2" t="s">
        <v>934</v>
      </c>
    </row>
    <row r="912" spans="1:5" ht="84" x14ac:dyDescent="0.2">
      <c r="A912" s="2" t="s">
        <v>933</v>
      </c>
      <c r="B912" s="2" t="str">
        <f>HYPERLINK("https://roanoke.com/life-entertainment/nation-world/wellness/too-much-of-a-food-thing-a-century-of-change-in-how-we-eat/article_60e547f2-27af-59c2-aed0-5549145f3cb0.html")</f>
        <v>https://roanoke.com/life-entertainment/nation-world/wellness/too-much-of-a-food-thing-a-century-of-change-in-how-we-eat/article_60e547f2-27af-59c2-aed0-5549145f3cb0.html</v>
      </c>
      <c r="C912" s="2" t="s">
        <v>2325</v>
      </c>
      <c r="D912" s="3">
        <v>45364</v>
      </c>
      <c r="E912" s="2" t="s">
        <v>934</v>
      </c>
    </row>
    <row r="913" spans="1:5" ht="84" x14ac:dyDescent="0.2">
      <c r="A913" s="2" t="s">
        <v>933</v>
      </c>
      <c r="B913" s="2" t="str">
        <f>HYPERLINK("https://richmond.com/life-entertainment/nation-world/wellness/too-much-of-a-food-thing-a-century-of-change-in-how-we-eat/article_7e7cc585-a365-5599-a559-518c59f1a71e.html")</f>
        <v>https://richmond.com/life-entertainment/nation-world/wellness/too-much-of-a-food-thing-a-century-of-change-in-how-we-eat/article_7e7cc585-a365-5599-a559-518c59f1a71e.html</v>
      </c>
      <c r="C913" s="2" t="s">
        <v>2701</v>
      </c>
      <c r="D913" s="3">
        <v>45364</v>
      </c>
      <c r="E913" s="2" t="s">
        <v>934</v>
      </c>
    </row>
    <row r="914" spans="1:5" ht="84" x14ac:dyDescent="0.2">
      <c r="A914" s="2" t="s">
        <v>933</v>
      </c>
      <c r="B914" s="2" t="str">
        <f>HYPERLINK("https://tulsaworld.com/life-entertainment/nation-world/wellness/too-much-of-a-food-thing-a-century-of-change-in-how-we-eat/article_7cc111c3-01a4-5b39-8758-a2bf5e7aa914.html")</f>
        <v>https://tulsaworld.com/life-entertainment/nation-world/wellness/too-much-of-a-food-thing-a-century-of-change-in-how-we-eat/article_7cc111c3-01a4-5b39-8758-a2bf5e7aa914.html</v>
      </c>
      <c r="C914" s="2" t="s">
        <v>2666</v>
      </c>
      <c r="D914" s="3">
        <v>45364</v>
      </c>
      <c r="E914" s="2" t="s">
        <v>934</v>
      </c>
    </row>
    <row r="915" spans="1:5" ht="70" x14ac:dyDescent="0.2">
      <c r="A915" s="2" t="s">
        <v>943</v>
      </c>
      <c r="B915" s="2" t="str">
        <f>HYPERLINK("https://lanacion.com.ec/el-yogur-como-aliado-contra-la-diabetes-tipo-2-que-dicen-los-expertos/")</f>
        <v>https://lanacion.com.ec/el-yogur-como-aliado-contra-la-diabetes-tipo-2-que-dicen-los-expertos/</v>
      </c>
      <c r="C915" s="2" t="s">
        <v>1115</v>
      </c>
      <c r="D915" s="3">
        <v>45364.427453703713</v>
      </c>
      <c r="E915" s="2" t="s">
        <v>1116</v>
      </c>
    </row>
    <row r="916" spans="1:5" ht="84" x14ac:dyDescent="0.2">
      <c r="A916" s="2" t="s">
        <v>933</v>
      </c>
      <c r="B916" s="2" t="str">
        <f>HYPERLINK("https://www.yourconroenews.com/news/article/too-much-of-a-food-thing-a-century-of-change-in-18971702.php")</f>
        <v>https://www.yourconroenews.com/news/article/too-much-of-a-food-thing-a-century-of-change-in-18971702.php</v>
      </c>
      <c r="C916" s="2" t="s">
        <v>1702</v>
      </c>
      <c r="D916" s="3">
        <v>45364.541909722233</v>
      </c>
      <c r="E916" s="2" t="s">
        <v>934</v>
      </c>
    </row>
    <row r="917" spans="1:5" ht="84" x14ac:dyDescent="0.2">
      <c r="A917" s="2" t="s">
        <v>933</v>
      </c>
      <c r="B917" s="2" t="str">
        <f>HYPERLINK("https://www.registercitizen.com/news/article/too-much-of-a-food-thing-a-century-of-change-in-18971702.php")</f>
        <v>https://www.registercitizen.com/news/article/too-much-of-a-food-thing-a-century-of-change-in-18971702.php</v>
      </c>
      <c r="C917" s="2" t="s">
        <v>1763</v>
      </c>
      <c r="D917" s="3">
        <v>45364.541909722233</v>
      </c>
      <c r="E917" s="2" t="s">
        <v>934</v>
      </c>
    </row>
    <row r="918" spans="1:5" ht="84" x14ac:dyDescent="0.2">
      <c r="A918" s="2" t="s">
        <v>933</v>
      </c>
      <c r="B918" s="2" t="str">
        <f>HYPERLINK("https://www.manisteenews.com/news/article/too-much-of-a-food-thing-a-century-of-change-in-18971702.php")</f>
        <v>https://www.manisteenews.com/news/article/too-much-of-a-food-thing-a-century-of-change-in-18971702.php</v>
      </c>
      <c r="C918" s="2" t="s">
        <v>1776</v>
      </c>
      <c r="D918" s="3">
        <v>45364.541909722233</v>
      </c>
      <c r="E918" s="2" t="s">
        <v>934</v>
      </c>
    </row>
    <row r="919" spans="1:5" ht="84" x14ac:dyDescent="0.2">
      <c r="A919" s="2" t="s">
        <v>933</v>
      </c>
      <c r="B919" s="2" t="str">
        <f>HYPERLINK("https://www.michigansthumb.com/news/article/too-much-of-a-food-thing-a-century-of-change-in-18971702.php")</f>
        <v>https://www.michigansthumb.com/news/article/too-much-of-a-food-thing-a-century-of-change-in-18971702.php</v>
      </c>
      <c r="C919" s="2" t="s">
        <v>2011</v>
      </c>
      <c r="D919" s="3">
        <v>45364.541909722233</v>
      </c>
      <c r="E919" s="2" t="s">
        <v>934</v>
      </c>
    </row>
    <row r="920" spans="1:5" ht="84" x14ac:dyDescent="0.2">
      <c r="A920" s="2" t="s">
        <v>933</v>
      </c>
      <c r="B920" s="2" t="str">
        <f>HYPERLINK("https://www.myjournalcourier.com/news/article/too-much-of-a-food-thing-a-century-of-change-in-18971702.php")</f>
        <v>https://www.myjournalcourier.com/news/article/too-much-of-a-food-thing-a-century-of-change-in-18971702.php</v>
      </c>
      <c r="C920" s="2" t="s">
        <v>2078</v>
      </c>
      <c r="D920" s="3">
        <v>45364.541909722233</v>
      </c>
      <c r="E920" s="2" t="s">
        <v>934</v>
      </c>
    </row>
    <row r="921" spans="1:5" ht="84" x14ac:dyDescent="0.2">
      <c r="A921" s="2" t="s">
        <v>933</v>
      </c>
      <c r="B921" s="2" t="str">
        <f>HYPERLINK("https://www.middletownpress.com/news/article/too-much-of-a-food-thing-a-century-of-change-in-18971702.php")</f>
        <v>https://www.middletownpress.com/news/article/too-much-of-a-food-thing-a-century-of-change-in-18971702.php</v>
      </c>
      <c r="C921" s="2" t="s">
        <v>2082</v>
      </c>
      <c r="D921" s="3">
        <v>45364.541909722233</v>
      </c>
      <c r="E921" s="2" t="s">
        <v>934</v>
      </c>
    </row>
    <row r="922" spans="1:5" ht="84" x14ac:dyDescent="0.2">
      <c r="A922" s="2" t="s">
        <v>933</v>
      </c>
      <c r="B922" s="2" t="str">
        <f>HYPERLINK("https://www.mrt.com/news/article/too-much-of-a-food-thing-a-century-of-change-in-18971702.php")</f>
        <v>https://www.mrt.com/news/article/too-much-of-a-food-thing-a-century-of-change-in-18971702.php</v>
      </c>
      <c r="C922" s="2" t="s">
        <v>2132</v>
      </c>
      <c r="D922" s="3">
        <v>45364.541909722233</v>
      </c>
      <c r="E922" s="2" t="s">
        <v>934</v>
      </c>
    </row>
    <row r="923" spans="1:5" ht="84" x14ac:dyDescent="0.2">
      <c r="A923" s="2" t="s">
        <v>933</v>
      </c>
      <c r="B923" s="2" t="str">
        <f>HYPERLINK("https://www.seattlepi.com/news/article/too-much-of-a-food-thing-a-century-of-change-in-18971702.php")</f>
        <v>https://www.seattlepi.com/news/article/too-much-of-a-food-thing-a-century-of-change-in-18971702.php</v>
      </c>
      <c r="C923" s="2" t="s">
        <v>2324</v>
      </c>
      <c r="D923" s="3">
        <v>45364.541909722233</v>
      </c>
      <c r="E923" s="2" t="s">
        <v>934</v>
      </c>
    </row>
    <row r="924" spans="1:5" ht="84" x14ac:dyDescent="0.2">
      <c r="A924" s="2" t="s">
        <v>933</v>
      </c>
      <c r="B924" s="2" t="str">
        <f>HYPERLINK("https://www.lmtonline.com/news/article/too-much-of-a-food-thing-a-century-of-change-in-18971702.php")</f>
        <v>https://www.lmtonline.com/news/article/too-much-of-a-food-thing-a-century-of-change-in-18971702.php</v>
      </c>
      <c r="C924" s="2" t="s">
        <v>2422</v>
      </c>
      <c r="D924" s="3">
        <v>45364.541909722233</v>
      </c>
      <c r="E924" s="2" t="s">
        <v>934</v>
      </c>
    </row>
    <row r="925" spans="1:5" ht="84" x14ac:dyDescent="0.2">
      <c r="A925" s="2" t="s">
        <v>933</v>
      </c>
      <c r="B925" s="2" t="str">
        <f>HYPERLINK("https://www.stamfordadvocate.com/news/article/too-much-of-a-food-thing-a-century-of-change-in-18971702.php")</f>
        <v>https://www.stamfordadvocate.com/news/article/too-much-of-a-food-thing-a-century-of-change-in-18971702.php</v>
      </c>
      <c r="C925" s="2" t="s">
        <v>2423</v>
      </c>
      <c r="D925" s="3">
        <v>45364.541909722233</v>
      </c>
      <c r="E925" s="2" t="s">
        <v>934</v>
      </c>
    </row>
    <row r="926" spans="1:5" ht="84" x14ac:dyDescent="0.2">
      <c r="A926" s="2" t="s">
        <v>933</v>
      </c>
      <c r="B926" s="2" t="str">
        <f>HYPERLINK("https://www.nhregister.com/news/article/too-much-of-a-food-thing-a-century-of-change-in-18971702.php")</f>
        <v>https://www.nhregister.com/news/article/too-much-of-a-food-thing-a-century-of-change-in-18971702.php</v>
      </c>
      <c r="C926" s="2" t="s">
        <v>2667</v>
      </c>
      <c r="D926" s="3">
        <v>45364.541909722233</v>
      </c>
      <c r="E926" s="2" t="s">
        <v>934</v>
      </c>
    </row>
    <row r="927" spans="1:5" ht="84" x14ac:dyDescent="0.2">
      <c r="A927" s="2" t="s">
        <v>933</v>
      </c>
      <c r="B927" s="2" t="str">
        <f>HYPERLINK("https://www.ctinsider.com/news/article/too-much-of-a-food-thing-a-century-of-change-in-18971702.php")</f>
        <v>https://www.ctinsider.com/news/article/too-much-of-a-food-thing-a-century-of-change-in-18971702.php</v>
      </c>
      <c r="C927" s="2" t="s">
        <v>2986</v>
      </c>
      <c r="D927" s="3">
        <v>45364.541909722233</v>
      </c>
      <c r="E927" s="2" t="s">
        <v>934</v>
      </c>
    </row>
    <row r="928" spans="1:5" ht="84" x14ac:dyDescent="0.2">
      <c r="A928" s="2" t="s">
        <v>933</v>
      </c>
      <c r="B928" s="2" t="str">
        <f>HYPERLINK("https://www.houstonchronicle.com/news/article/too-much-of-a-food-thing-a-century-of-change-in-18971702.php")</f>
        <v>https://www.houstonchronicle.com/news/article/too-much-of-a-food-thing-a-century-of-change-in-18971702.php</v>
      </c>
      <c r="C928" s="2" t="s">
        <v>3145</v>
      </c>
      <c r="D928" s="3">
        <v>45364.541909722233</v>
      </c>
      <c r="E928" s="2" t="s">
        <v>934</v>
      </c>
    </row>
    <row r="929" spans="1:5" ht="84" x14ac:dyDescent="0.2">
      <c r="A929" s="2" t="s">
        <v>933</v>
      </c>
      <c r="B929" s="2" t="str">
        <f>HYPERLINK("https://www.sfchronicle.com/news/article/too-much-of-a-food-thing-a-century-of-change-in-18971702.php")</f>
        <v>https://www.sfchronicle.com/news/article/too-much-of-a-food-thing-a-century-of-change-in-18971702.php</v>
      </c>
      <c r="C929" s="2" t="s">
        <v>3311</v>
      </c>
      <c r="D929" s="3">
        <v>45364.541909722233</v>
      </c>
      <c r="E929" s="2" t="s">
        <v>934</v>
      </c>
    </row>
    <row r="930" spans="1:5" ht="84" x14ac:dyDescent="0.2">
      <c r="A930" s="2" t="s">
        <v>2348</v>
      </c>
      <c r="B930" s="2" t="str">
        <f>HYPERLINK("https://www.chron.com/news/article/too-much-of-a-food-thing-a-century-of-change-in-18971702.php")</f>
        <v>https://www.chron.com/news/article/too-much-of-a-food-thing-a-century-of-change-in-18971702.php</v>
      </c>
      <c r="C930" s="2" t="s">
        <v>3321</v>
      </c>
      <c r="D930" s="3">
        <v>45364.541909722233</v>
      </c>
      <c r="E930" s="2" t="s">
        <v>934</v>
      </c>
    </row>
    <row r="931" spans="1:5" ht="84" x14ac:dyDescent="0.2">
      <c r="A931" s="2" t="s">
        <v>933</v>
      </c>
      <c r="B931" s="2" t="str">
        <f>HYPERLINK("https://www.sfgate.com/news/article/too-much-of-a-food-thing-a-century-of-change-in-18971702.php")</f>
        <v>https://www.sfgate.com/news/article/too-much-of-a-food-thing-a-century-of-change-in-18971702.php</v>
      </c>
      <c r="C931" s="2" t="s">
        <v>3492</v>
      </c>
      <c r="D931" s="3">
        <v>45364.554444444453</v>
      </c>
      <c r="E931" s="2" t="s">
        <v>934</v>
      </c>
    </row>
    <row r="932" spans="1:5" ht="84" x14ac:dyDescent="0.2">
      <c r="A932" s="2" t="s">
        <v>933</v>
      </c>
      <c r="B932" s="2" t="str">
        <f>HYPERLINK("https://scnow.com/life-entertainment/nation-world/wellness/too-much-of-a-food-thing-a-century-of-change-in-how-we-eat/article_545ed667-f88a-5155-b2ec-4e6ae58d31b5.html")</f>
        <v>https://scnow.com/life-entertainment/nation-world/wellness/too-much-of-a-food-thing-a-century-of-change-in-how-we-eat/article_545ed667-f88a-5155-b2ec-4e6ae58d31b5.html</v>
      </c>
      <c r="C932" s="2" t="s">
        <v>1678</v>
      </c>
      <c r="D932" s="3">
        <v>45364.675509259258</v>
      </c>
      <c r="E932" s="2" t="s">
        <v>934</v>
      </c>
    </row>
    <row r="933" spans="1:5" ht="84" x14ac:dyDescent="0.2">
      <c r="A933" s="2" t="s">
        <v>933</v>
      </c>
      <c r="B933" s="2" t="str">
        <f>HYPERLINK("https://omaha.com/life-entertainment/nation-world/wellness/too-much-of-a-food-thing-a-century-of-change-in-how-we-eat/article_e982433d-e7e1-59d1-83db-352c59784378.html")</f>
        <v>https://omaha.com/life-entertainment/nation-world/wellness/too-much-of-a-food-thing-a-century-of-change-in-how-we-eat/article_e982433d-e7e1-59d1-83db-352c59784378.html</v>
      </c>
      <c r="C933" s="2" t="s">
        <v>2629</v>
      </c>
      <c r="D933" s="3">
        <v>45364.678148148138</v>
      </c>
      <c r="E933" s="2" t="s">
        <v>934</v>
      </c>
    </row>
    <row r="934" spans="1:5" ht="84" x14ac:dyDescent="0.2">
      <c r="A934" s="2" t="s">
        <v>933</v>
      </c>
      <c r="B934" s="2" t="str">
        <f>HYPERLINK("https://tucson.com/life-entertainment/nation-world/wellness/too-much-of-a-food-thing-a-century-of-change-in-how-we-eat/article_b8f6811a-7163-5de7-978f-cfcd0fc90dc2.html")</f>
        <v>https://tucson.com/life-entertainment/nation-world/wellness/too-much-of-a-food-thing-a-century-of-change-in-how-we-eat/article_b8f6811a-7163-5de7-978f-cfcd0fc90dc2.html</v>
      </c>
      <c r="C934" s="2" t="s">
        <v>2759</v>
      </c>
      <c r="D934" s="3">
        <v>45364.682013888887</v>
      </c>
      <c r="E934" s="2" t="s">
        <v>934</v>
      </c>
    </row>
    <row r="935" spans="1:5" ht="84" x14ac:dyDescent="0.2">
      <c r="A935" s="2" t="s">
        <v>933</v>
      </c>
      <c r="B935" s="2" t="str">
        <f>HYPERLINK("https://journalstar.com/life-entertainment/nation-world/wellness/too-much-of-a-food-thing-a-century-of-change-in-how-we-eat/article_e7e9f319-7c1a-5421-abe2-0012e3002a04.html")</f>
        <v>https://journalstar.com/life-entertainment/nation-world/wellness/too-much-of-a-food-thing-a-century-of-change-in-how-we-eat/article_e7e9f319-7c1a-5421-abe2-0012e3002a04.html</v>
      </c>
      <c r="C935" s="2" t="s">
        <v>2562</v>
      </c>
      <c r="D935" s="3">
        <v>45364.684398148151</v>
      </c>
      <c r="E935" s="2" t="s">
        <v>934</v>
      </c>
    </row>
    <row r="936" spans="1:5" ht="84" x14ac:dyDescent="0.2">
      <c r="A936" s="2" t="s">
        <v>2348</v>
      </c>
      <c r="B936" s="2" t="str">
        <f>HYPERLINK("https://www.wkow.com/news/food/too-much-of-a-food-thing-a-century-of-change-in-how-we-eat/article_54da21f3-a183-55ff-acf3-a022bea2f368.html")</f>
        <v>https://www.wkow.com/news/food/too-much-of-a-food-thing-a-century-of-change-in-how-we-eat/article_54da21f3-a183-55ff-acf3-a022bea2f368.html</v>
      </c>
      <c r="C936" s="2" t="s">
        <v>2658</v>
      </c>
      <c r="D936" s="3">
        <v>45364.685358796298</v>
      </c>
      <c r="E936" s="2" t="s">
        <v>934</v>
      </c>
    </row>
    <row r="937" spans="1:5" ht="84" x14ac:dyDescent="0.2">
      <c r="A937" s="2" t="s">
        <v>933</v>
      </c>
      <c r="B937" s="2" t="str">
        <f>HYPERLINK("https://democratherald.com/life-entertainment/nation-world/wellness/too-much-of-a-food-thing-a-century-of-change-in-how-we-eat/article_1731ad68-29dc-5ee6-a8c7-0ebf0cf6a986.html")</f>
        <v>https://democratherald.com/life-entertainment/nation-world/wellness/too-much-of-a-food-thing-a-century-of-change-in-how-we-eat/article_1731ad68-29dc-5ee6-a8c7-0ebf0cf6a986.html</v>
      </c>
      <c r="C937" s="2" t="s">
        <v>1590</v>
      </c>
      <c r="D937" s="3">
        <v>45364.686828703707</v>
      </c>
      <c r="E937" s="2" t="s">
        <v>934</v>
      </c>
    </row>
    <row r="938" spans="1:5" ht="84" x14ac:dyDescent="0.2">
      <c r="A938" s="2" t="s">
        <v>933</v>
      </c>
      <c r="B938" s="2" t="str">
        <f>HYPERLINK("https://rapidcityjournal.com/life-entertainment/nation-world/wellness/too-much-of-a-food-thing-a-century-of-change-in-how-we-eat/article_48ba43a0-4080-59d7-b34d-ed5266865dee.html")</f>
        <v>https://rapidcityjournal.com/life-entertainment/nation-world/wellness/too-much-of-a-food-thing-a-century-of-change-in-how-we-eat/article_48ba43a0-4080-59d7-b34d-ed5266865dee.html</v>
      </c>
      <c r="C938" s="2" t="s">
        <v>2054</v>
      </c>
      <c r="D938" s="3">
        <v>45364.687662037039</v>
      </c>
      <c r="E938" s="2" t="s">
        <v>934</v>
      </c>
    </row>
    <row r="939" spans="1:5" ht="84" x14ac:dyDescent="0.2">
      <c r="A939" s="2" t="s">
        <v>933</v>
      </c>
      <c r="B939" s="2" t="str">
        <f>HYPERLINK("https://www.stltoday.com/life-entertainment/nation-world/wellness/too-much-of-a-food-thing-a-century-of-change-in-how-we-eat/article_1ceb73a2-867f-524c-8f09-92162d3a8e64.html")</f>
        <v>https://www.stltoday.com/life-entertainment/nation-world/wellness/too-much-of-a-food-thing-a-century-of-change-in-how-we-eat/article_1ceb73a2-867f-524c-8f09-92162d3a8e64.html</v>
      </c>
      <c r="C939" s="2" t="s">
        <v>2877</v>
      </c>
      <c r="D939" s="3">
        <v>45364.707048611112</v>
      </c>
      <c r="E939" s="2" t="s">
        <v>934</v>
      </c>
    </row>
    <row r="940" spans="1:5" ht="84" x14ac:dyDescent="0.2">
      <c r="A940" s="2" t="s">
        <v>933</v>
      </c>
      <c r="B940" s="2" t="str">
        <f>HYPERLINK("https://wahoo-ashland-waverly.com/life-entertainment/nation-world/wellness/too-much-of-a-food-thing-a-century-of-change-in-how-we-eat/article_8b160ece-81a9-5ee8-abc7-4c863b447eed.html")</f>
        <v>https://wahoo-ashland-waverly.com/life-entertainment/nation-world/wellness/too-much-of-a-food-thing-a-century-of-change-in-how-we-eat/article_8b160ece-81a9-5ee8-abc7-4c863b447eed.html</v>
      </c>
      <c r="C940" s="2" t="s">
        <v>697</v>
      </c>
      <c r="D940" s="3">
        <v>45364.718240740738</v>
      </c>
      <c r="E940" s="2" t="s">
        <v>934</v>
      </c>
    </row>
    <row r="941" spans="1:5" ht="84" x14ac:dyDescent="0.2">
      <c r="A941" s="2" t="s">
        <v>933</v>
      </c>
      <c r="B941" s="2" t="str">
        <f>HYPERLINK("https://theindependent.com/life-entertainment/nation-world/wellness/too-much-of-a-food-thing-a-century-of-change-in-how-we-eat/article_63731d9c-c368-5840-9373-93347388bee8.html")</f>
        <v>https://theindependent.com/life-entertainment/nation-world/wellness/too-much-of-a-food-thing-a-century-of-change-in-how-we-eat/article_63731d9c-c368-5840-9373-93347388bee8.html</v>
      </c>
      <c r="C941" s="2" t="s">
        <v>1864</v>
      </c>
      <c r="D941" s="3">
        <v>45364.7421875</v>
      </c>
      <c r="E941" s="2" t="s">
        <v>934</v>
      </c>
    </row>
    <row r="942" spans="1:5" ht="84" x14ac:dyDescent="0.2">
      <c r="A942" s="2" t="s">
        <v>933</v>
      </c>
      <c r="B942" s="2" t="str">
        <f>HYPERLINK("https://kearneyhub.com/life-entertainment/nation-world/wellness/too-much-of-a-food-thing-a-century-of-change-in-how-we-eat/article_7945a7f4-1fdb-5757-83a4-55dfcca0af8f.html")</f>
        <v>https://kearneyhub.com/life-entertainment/nation-world/wellness/too-much-of-a-food-thing-a-century-of-change-in-how-we-eat/article_7945a7f4-1fdb-5757-83a4-55dfcca0af8f.html</v>
      </c>
      <c r="C942" s="2" t="s">
        <v>1586</v>
      </c>
      <c r="D942" s="3">
        <v>45364.749652777777</v>
      </c>
      <c r="E942" s="2" t="s">
        <v>934</v>
      </c>
    </row>
    <row r="943" spans="1:5" ht="84" x14ac:dyDescent="0.2">
      <c r="A943" s="2" t="s">
        <v>933</v>
      </c>
      <c r="B943" s="2" t="str">
        <f>HYPERLINK("https://oanow.com/life-entertainment/nation-world/wellness/too-much-of-a-food-thing-a-century-of-change-in-how-we-eat/article_d168add9-8060-54b2-b906-5278e18fb6a7.html")</f>
        <v>https://oanow.com/life-entertainment/nation-world/wellness/too-much-of-a-food-thing-a-century-of-change-in-how-we-eat/article_d168add9-8060-54b2-b906-5278e18fb6a7.html</v>
      </c>
      <c r="C943" s="2" t="s">
        <v>1733</v>
      </c>
      <c r="D943" s="3">
        <v>45364.762789351851</v>
      </c>
      <c r="E943" s="2" t="s">
        <v>934</v>
      </c>
    </row>
    <row r="944" spans="1:5" ht="84" x14ac:dyDescent="0.2">
      <c r="A944" s="2" t="s">
        <v>933</v>
      </c>
      <c r="B944" s="2" t="str">
        <f>HYPERLINK("https://auburnpub.com/life-entertainment/nation-world/wellness/too-much-of-a-food-thing-a-century-of-change-in-how-we-eat/article_fe0f1074-e40b-5830-a141-7a89cf495777.html")</f>
        <v>https://auburnpub.com/life-entertainment/nation-world/wellness/too-much-of-a-food-thing-a-century-of-change-in-how-we-eat/article_fe0f1074-e40b-5830-a141-7a89cf495777.html</v>
      </c>
      <c r="C944" s="2" t="s">
        <v>1909</v>
      </c>
      <c r="D944" s="3">
        <v>45364.764432870368</v>
      </c>
      <c r="E944" s="2" t="s">
        <v>934</v>
      </c>
    </row>
    <row r="945" spans="1:5" ht="84" x14ac:dyDescent="0.2">
      <c r="A945" s="2" t="s">
        <v>933</v>
      </c>
      <c r="B945" s="2" t="str">
        <f>HYPERLINK("https://poststar.com/life-entertainment/nation-world/wellness/too-much-of-a-food-thing-a-century-of-change-in-how-we-eat/article_a75c3e45-c224-52e1-9b59-75d4bd3c875f.html")</f>
        <v>https://poststar.com/life-entertainment/nation-world/wellness/too-much-of-a-food-thing-a-century-of-change-in-how-we-eat/article_a75c3e45-c224-52e1-9b59-75d4bd3c875f.html</v>
      </c>
      <c r="C945" s="2" t="s">
        <v>2010</v>
      </c>
      <c r="D945" s="3">
        <v>45364.793587962973</v>
      </c>
      <c r="E945" s="2" t="s">
        <v>934</v>
      </c>
    </row>
    <row r="946" spans="1:5" ht="84" x14ac:dyDescent="0.2">
      <c r="A946" s="2" t="s">
        <v>2564</v>
      </c>
      <c r="B946" s="2" t="str">
        <f>HYPERLINK("http://www.2810.gr/index.php/news-texnologia-epistimi/94744-xrisimes-symvoules-gia-na-epitaxynete-tin-apoleia-varous-meta-ta-40")</f>
        <v>http://www.2810.gr/index.php/news-texnologia-epistimi/94744-xrisimes-symvoules-gia-na-epitaxynete-tin-apoleia-varous-meta-ta-40</v>
      </c>
      <c r="C946" s="2" t="s">
        <v>4209</v>
      </c>
      <c r="D946" s="3">
        <v>45365</v>
      </c>
      <c r="E946" s="2" t="s">
        <v>2510</v>
      </c>
    </row>
    <row r="947" spans="1:5" ht="84" x14ac:dyDescent="0.2">
      <c r="A947" s="2" t="s">
        <v>2348</v>
      </c>
      <c r="B947" s="2" t="str">
        <f>HYPERLINK("https://greensboro.com/life-entertainment/nation-world/wellness/too-much-of-a-food-thing-a-century-of-change-in-how-we-eat/article_97161fcb-c9a9-5aa7-a49e-3cef0d496cdf.html")</f>
        <v>https://greensboro.com/life-entertainment/nation-world/wellness/too-much-of-a-food-thing-a-century-of-change-in-how-we-eat/article_97161fcb-c9a9-5aa7-a49e-3cef0d496cdf.html</v>
      </c>
      <c r="C947" s="2" t="s">
        <v>2313</v>
      </c>
      <c r="D947" s="3">
        <v>45365.019861111112</v>
      </c>
      <c r="E947" s="2" t="s">
        <v>934</v>
      </c>
    </row>
    <row r="948" spans="1:5" ht="56" x14ac:dyDescent="0.2">
      <c r="A948" s="2" t="s">
        <v>39</v>
      </c>
      <c r="B948" s="2" t="str">
        <f>HYPERLINK("https://metajaunnews.com/useful-tips-to-speed-up-weight-loss-after-40/")</f>
        <v>https://metajaunnews.com/useful-tips-to-speed-up-weight-loss-after-40/</v>
      </c>
      <c r="C948" s="2" t="s">
        <v>40</v>
      </c>
      <c r="D948" s="3">
        <v>45365.084027777782</v>
      </c>
      <c r="E948" s="2" t="s">
        <v>41</v>
      </c>
    </row>
    <row r="949" spans="1:5" ht="84" x14ac:dyDescent="0.2">
      <c r="A949" s="2" t="s">
        <v>2564</v>
      </c>
      <c r="B949" s="2" t="str">
        <f>HYPERLINK("https://www.newsit.gr/ygeia/xrisimes-symvoules-gia-na-epitaxynete-tin-apoleia-varous-meta-ta-40/3590352/")</f>
        <v>https://www.newsit.gr/ygeia/xrisimes-symvoules-gia-na-epitaxynete-tin-apoleia-varous-meta-ta-40/3590352/</v>
      </c>
      <c r="C949" s="2" t="s">
        <v>3203</v>
      </c>
      <c r="D949" s="3">
        <v>45365.085405092592</v>
      </c>
      <c r="E949" s="2" t="s">
        <v>2510</v>
      </c>
    </row>
    <row r="950" spans="1:5" ht="84" x14ac:dyDescent="0.2">
      <c r="A950" s="2" t="s">
        <v>2564</v>
      </c>
      <c r="B950" s="2" t="str">
        <f>HYPERLINK("https://radiosecret.gr/ygeia/chrisimes-symvoules-gia-na-epitachynete-tin-apoleia-varous-meta-ta-40/")</f>
        <v>https://radiosecret.gr/ygeia/chrisimes-symvoules-gia-na-epitachynete-tin-apoleia-varous-meta-ta-40/</v>
      </c>
      <c r="C950" s="2" t="s">
        <v>3790</v>
      </c>
      <c r="D950" s="3">
        <v>45365.109409722223</v>
      </c>
      <c r="E950" s="2" t="s">
        <v>2510</v>
      </c>
    </row>
    <row r="951" spans="1:5" ht="84" x14ac:dyDescent="0.2">
      <c r="A951" s="2" t="s">
        <v>933</v>
      </c>
      <c r="B951" s="2" t="str">
        <f>HYPERLINK("https://www.chronicleonline.com/lifestyle/health/too-much-of-a-food-thing-a-century-of-change-in-how-we-eat/article_c8cb8fe8-ebf8-506a-9cda-8dccd5124fd2.html")</f>
        <v>https://www.chronicleonline.com/lifestyle/health/too-much-of-a-food-thing-a-century-of-change-in-how-we-eat/article_c8cb8fe8-ebf8-506a-9cda-8dccd5124fd2.html</v>
      </c>
      <c r="C951" s="2" t="s">
        <v>2121</v>
      </c>
      <c r="D951" s="3">
        <v>45365.522326388891</v>
      </c>
      <c r="E951" s="2" t="s">
        <v>934</v>
      </c>
    </row>
    <row r="952" spans="1:5" ht="84" x14ac:dyDescent="0.2">
      <c r="A952" s="2" t="s">
        <v>933</v>
      </c>
      <c r="B952" s="2" t="str">
        <f>HYPERLINK("https://medicalxpress.com/news/2024-03-food-century.html")</f>
        <v>https://medicalxpress.com/news/2024-03-food-century.html</v>
      </c>
      <c r="C952" s="2" t="s">
        <v>3063</v>
      </c>
      <c r="D952" s="3">
        <v>45365.537326388891</v>
      </c>
      <c r="E952" s="2" t="s">
        <v>934</v>
      </c>
    </row>
    <row r="953" spans="1:5" ht="56" x14ac:dyDescent="0.2">
      <c r="A953" s="2" t="s">
        <v>2764</v>
      </c>
      <c r="B953" s="2" t="str">
        <f>HYPERLINK("https://www.diabetes.co.uk/news/2024/mar/yoghurt-labels-to-outline-they-can-lower-risk-of-type-2-diabetes-despite-containing-high-levels-of-sugar.html")</f>
        <v>https://www.diabetes.co.uk/news/2024/mar/yoghurt-labels-to-outline-they-can-lower-risk-of-type-2-diabetes-despite-containing-high-levels-of-sugar.html</v>
      </c>
      <c r="C953" s="2" t="s">
        <v>2765</v>
      </c>
      <c r="D953" s="3">
        <v>45366</v>
      </c>
      <c r="E953" s="2" t="s">
        <v>2766</v>
      </c>
    </row>
    <row r="954" spans="1:5" ht="70" x14ac:dyDescent="0.2">
      <c r="A954" s="2" t="s">
        <v>1428</v>
      </c>
      <c r="B954" s="2" t="str">
        <f>HYPERLINK("https://factchequeado.com/teexplicamos/20240315/comer-yogur-reduce-riesgo-diabetes/")</f>
        <v>https://factchequeado.com/teexplicamos/20240315/comer-yogur-reduce-riesgo-diabetes/</v>
      </c>
      <c r="C954" s="2" t="s">
        <v>1429</v>
      </c>
      <c r="D954" s="3">
        <v>45366.441469907397</v>
      </c>
      <c r="E954" s="2" t="s">
        <v>1430</v>
      </c>
    </row>
    <row r="955" spans="1:5" ht="70" x14ac:dyDescent="0.2">
      <c r="A955" s="2" t="s">
        <v>3862</v>
      </c>
      <c r="B955" s="2" t="str">
        <f>HYPERLINK("https://news.thin-ink.net/p/welcome-to-the-upside-down")</f>
        <v>https://news.thin-ink.net/p/welcome-to-the-upside-down</v>
      </c>
      <c r="C955" s="2" t="s">
        <v>3740</v>
      </c>
      <c r="D955" s="3">
        <v>45366.511087962957</v>
      </c>
      <c r="E955" s="2" t="s">
        <v>3863</v>
      </c>
    </row>
    <row r="956" spans="1:5" ht="154" x14ac:dyDescent="0.2">
      <c r="A956" s="2" t="s">
        <v>2564</v>
      </c>
      <c r="B956" s="2" t="str">
        <f>HYPERLINK("https://thesstoday.gr/%CF%87%CF%81%CE%AE%CF%83%CE%B9%CE%BC%CE%B5%CF%82-%CF%83%CF%85%CE%BC%CE%B2%CE%BF%CF%85%CE%BB%CE%AD%CF%82-%CE%B3%CE%B9%CE%B1-%CE%BD%CE%B1-%CE%B5%CF%80%CE%B9%CF%84%CE%B1%CF%87%CF%8D%CE%BD%CE%B5%CF%84/")</f>
        <v>https://thesstoday.gr/%CF%87%CF%81%CE%AE%CF%83%CE%B9%CE%BC%CE%B5%CF%82-%CF%83%CF%85%CE%BC%CE%B2%CE%BF%CF%85%CE%BB%CE%AD%CF%82-%CE%B3%CE%B9%CE%B1-%CE%BD%CE%B1-%CE%B5%CF%80%CE%B9%CF%84%CE%B1%CF%87%CF%8D%CE%BD%CE%B5%CF%84/</v>
      </c>
      <c r="C956" s="2" t="s">
        <v>4026</v>
      </c>
      <c r="D956" s="3">
        <v>45366.715787037043</v>
      </c>
      <c r="E956" s="2" t="s">
        <v>2566</v>
      </c>
    </row>
    <row r="957" spans="1:5" ht="84" x14ac:dyDescent="0.2">
      <c r="A957" s="2" t="s">
        <v>2564</v>
      </c>
      <c r="B957" s="2" t="str">
        <f>HYPERLINK("https://pelop.gr/chrisimes-symvoules-gia-na-epitachynete-tin-apoleia-varous-meta-ta-40/")</f>
        <v>https://pelop.gr/chrisimes-symvoules-gia-na-epitachynete-tin-apoleia-varous-meta-ta-40/</v>
      </c>
      <c r="C957" s="2" t="s">
        <v>2565</v>
      </c>
      <c r="D957" s="3">
        <v>45366.743090277778</v>
      </c>
      <c r="E957" s="2" t="s">
        <v>2566</v>
      </c>
    </row>
    <row r="958" spans="1:5" ht="70" x14ac:dyDescent="0.2">
      <c r="A958" s="2" t="s">
        <v>1342</v>
      </c>
      <c r="B958" s="2" t="str">
        <f>HYPERLINK("https://vnexplorer.net/the-best-breakfast-cereals-for-your-health-and-the-ones-to-avoid-s1916517.html")</f>
        <v>https://vnexplorer.net/the-best-breakfast-cereals-for-your-health-and-the-ones-to-avoid-s1916517.html</v>
      </c>
      <c r="C958" s="2" t="s">
        <v>1334</v>
      </c>
      <c r="D958" s="3">
        <v>45366.927766203713</v>
      </c>
      <c r="E958" s="2" t="s">
        <v>1343</v>
      </c>
    </row>
    <row r="959" spans="1:5" ht="70" x14ac:dyDescent="0.2">
      <c r="A959" s="2" t="s">
        <v>2924</v>
      </c>
      <c r="B959" s="2" t="str">
        <f>HYPERLINK("https://www.aol.co.uk/news/best-cereals-health-ones-avoid-070000095.html")</f>
        <v>https://www.aol.co.uk/news/best-cereals-health-ones-avoid-070000095.html</v>
      </c>
      <c r="C959" s="2" t="s">
        <v>2925</v>
      </c>
      <c r="D959" s="3">
        <v>45367.125</v>
      </c>
      <c r="E959" s="2" t="s">
        <v>865</v>
      </c>
    </row>
    <row r="960" spans="1:5" ht="70" x14ac:dyDescent="0.2">
      <c r="A960" s="2" t="s">
        <v>2924</v>
      </c>
      <c r="B960" s="2" t="str">
        <f>HYPERLINK("https://www.telegraph.co.uk/health-fitness/diet/nutrition/best-supermarket-cereal-health-avoid-sugar/")</f>
        <v>https://www.telegraph.co.uk/health-fitness/diet/nutrition/best-supermarket-cereal-health-avoid-sugar/</v>
      </c>
      <c r="C960" s="2" t="s">
        <v>3613</v>
      </c>
      <c r="D960" s="3">
        <v>45367.127592592587</v>
      </c>
      <c r="E960" s="2" t="s">
        <v>865</v>
      </c>
    </row>
    <row r="961" spans="1:5" ht="70" x14ac:dyDescent="0.2">
      <c r="A961" s="2" t="s">
        <v>3337</v>
      </c>
      <c r="B961" s="2" t="str">
        <f>HYPERLINK("https://uk.news.yahoo.com/best-cereals-health-ones-avoid-070000350.html")</f>
        <v>https://uk.news.yahoo.com/best-cereals-health-ones-avoid-070000350.html</v>
      </c>
      <c r="C961" s="2" t="s">
        <v>3264</v>
      </c>
      <c r="D961" s="3">
        <v>45367.130208333343</v>
      </c>
      <c r="E961" s="2" t="s">
        <v>3338</v>
      </c>
    </row>
    <row r="962" spans="1:5" ht="70" x14ac:dyDescent="0.2">
      <c r="A962" s="2" t="s">
        <v>2924</v>
      </c>
      <c r="B962" s="2" t="str">
        <f>HYPERLINK("https://www.yahoo.com/news/best-cereals-health-ones-avoid-070000015.html")</f>
        <v>https://www.yahoo.com/news/best-cereals-health-ones-avoid-070000015.html</v>
      </c>
      <c r="C962" s="2" t="s">
        <v>3728</v>
      </c>
      <c r="D962" s="3">
        <v>45367.134351851862</v>
      </c>
      <c r="E962" s="2" t="s">
        <v>865</v>
      </c>
    </row>
    <row r="963" spans="1:5" ht="70" x14ac:dyDescent="0.2">
      <c r="A963" s="2" t="s">
        <v>2924</v>
      </c>
      <c r="B963" s="2" t="str">
        <f>HYPERLINK("https://ca.news.yahoo.com/best-cereals-health-ones-avoid-070000350.html")</f>
        <v>https://ca.news.yahoo.com/best-cereals-health-ones-avoid-070000350.html</v>
      </c>
      <c r="C963" s="2" t="s">
        <v>3097</v>
      </c>
      <c r="D963" s="3">
        <v>45367.141053240739</v>
      </c>
      <c r="E963" s="2" t="s">
        <v>3186</v>
      </c>
    </row>
    <row r="964" spans="1:5" ht="70" x14ac:dyDescent="0.2">
      <c r="A964" s="2" t="s">
        <v>864</v>
      </c>
      <c r="B964" s="2" t="str">
        <f>HYPERLINK("https://mahalsa.co.uk/the-best-breakfast-cereals-for-your-health-and-the-ones-to-avoid/")</f>
        <v>https://mahalsa.co.uk/the-best-breakfast-cereals-for-your-health-and-the-ones-to-avoid/</v>
      </c>
      <c r="C964" s="2" t="s">
        <v>862</v>
      </c>
      <c r="D964" s="3">
        <v>45367.246724537043</v>
      </c>
      <c r="E964" s="2" t="s">
        <v>865</v>
      </c>
    </row>
    <row r="965" spans="1:5" ht="70" x14ac:dyDescent="0.2">
      <c r="A965" s="2" t="s">
        <v>1076</v>
      </c>
      <c r="B965" s="2" t="str">
        <f>HYPERLINK("https://newsexplorer.net/the-best-breakfast-cereals-for-your-health-and-the-ones-to-avoid-s1916517.html")</f>
        <v>https://newsexplorer.net/the-best-breakfast-cereals-for-your-health-and-the-ones-to-avoid-s1916517.html</v>
      </c>
      <c r="C965" s="2" t="s">
        <v>1067</v>
      </c>
      <c r="D965" s="3">
        <v>45367.261099537027</v>
      </c>
      <c r="E965" s="2" t="s">
        <v>865</v>
      </c>
    </row>
    <row r="966" spans="1:5" ht="84" x14ac:dyDescent="0.2">
      <c r="A966" s="2" t="s">
        <v>2564</v>
      </c>
      <c r="B966" s="2" t="str">
        <f>HYPERLINK("https://politeianews.gr/chrisimes-symvoules-gia-na-epitachynete-tin-apoleia-varous-meta-ta-40/")</f>
        <v>https://politeianews.gr/chrisimes-symvoules-gia-na-epitachynete-tin-apoleia-varous-meta-ta-40/</v>
      </c>
      <c r="C966" s="2" t="s">
        <v>3781</v>
      </c>
      <c r="D966" s="3">
        <v>45367.466249999998</v>
      </c>
      <c r="E966" s="2" t="s">
        <v>2566</v>
      </c>
    </row>
    <row r="967" spans="1:5" ht="84" x14ac:dyDescent="0.2">
      <c r="A967" s="2" t="s">
        <v>933</v>
      </c>
      <c r="B967" s="2" t="str">
        <f>HYPERLINK("https://www.independent.com.mt/articles/2024-03-17/world-news/Too-much-of-a-food-thing-A-century-of-change-in-how-we-eat-6736259481")</f>
        <v>https://www.independent.com.mt/articles/2024-03-17/world-news/Too-much-of-a-food-thing-A-century-of-change-in-how-we-eat-6736259481</v>
      </c>
      <c r="C967" s="2" t="s">
        <v>2493</v>
      </c>
      <c r="D967" s="3">
        <v>45368.227858796286</v>
      </c>
      <c r="E967" s="2" t="s">
        <v>934</v>
      </c>
    </row>
    <row r="968" spans="1:5" ht="84" x14ac:dyDescent="0.2">
      <c r="A968" s="2" t="s">
        <v>933</v>
      </c>
      <c r="B968" s="2" t="str">
        <f>HYPERLINK("https://japantoday.com/category/features/food/too-much-of-a-food-thing-a-century-of-change-in-how-we-eat")</f>
        <v>https://japantoday.com/category/features/food/too-much-of-a-food-thing-a-century-of-change-in-how-we-eat</v>
      </c>
      <c r="C968" s="2" t="s">
        <v>2784</v>
      </c>
      <c r="D968" s="3">
        <v>45368.631944444453</v>
      </c>
      <c r="E968" s="2" t="s">
        <v>934</v>
      </c>
    </row>
    <row r="969" spans="1:5" ht="84" x14ac:dyDescent="0.2">
      <c r="A969" s="2" t="s">
        <v>914</v>
      </c>
      <c r="B969" s="2" t="str">
        <f>HYPERLINK("https://eatdrinkfilms.com/2024/03/17/champagne-biopic-widow-clicquot-opens-sonoma-international-film-festivals-tasty-program/")</f>
        <v>https://eatdrinkfilms.com/2024/03/17/champagne-biopic-widow-clicquot-opens-sonoma-international-film-festivals-tasty-program/</v>
      </c>
      <c r="C969" s="2" t="s">
        <v>915</v>
      </c>
      <c r="D969" s="3">
        <v>45368.715636574067</v>
      </c>
      <c r="E969" s="2" t="s">
        <v>916</v>
      </c>
    </row>
    <row r="970" spans="1:5" ht="84" x14ac:dyDescent="0.2">
      <c r="A970" s="2" t="s">
        <v>1439</v>
      </c>
      <c r="B970" s="2" t="str">
        <f>HYPERLINK("https://www.ksro.com/episode/at-the-table-the-weight-of-ozempic-what-happens-when-we-no-longer-care-about-food/")</f>
        <v>https://www.ksro.com/episode/at-the-table-the-weight-of-ozempic-what-happens-when-we-no-longer-care-about-food/</v>
      </c>
      <c r="C970" s="2" t="s">
        <v>1440</v>
      </c>
      <c r="D970" s="3">
        <v>45369</v>
      </c>
      <c r="E970" s="2" t="s">
        <v>1441</v>
      </c>
    </row>
    <row r="971" spans="1:5" ht="56" x14ac:dyDescent="0.2">
      <c r="A971" s="2" t="s">
        <v>3175</v>
      </c>
      <c r="B971" s="2" t="str">
        <f>HYPERLINK("https://www.dailymaverick.co.za/article/2024-03-18-nestle-partnership-with-university-of-pretoria-raises-critical-corporate-capture-questions-part-2/")</f>
        <v>https://www.dailymaverick.co.za/article/2024-03-18-nestle-partnership-with-university-of-pretoria-raises-critical-corporate-capture-questions-part-2/</v>
      </c>
      <c r="C971" s="2" t="s">
        <v>3174</v>
      </c>
      <c r="D971" s="3">
        <v>45369.648773148147</v>
      </c>
      <c r="E971" s="2" t="s">
        <v>492</v>
      </c>
    </row>
    <row r="972" spans="1:5" ht="56" x14ac:dyDescent="0.2">
      <c r="A972" s="2" t="s">
        <v>3173</v>
      </c>
      <c r="B972" s="2" t="str">
        <f>HYPERLINK("https://www.dailymaverick.co.za/article/2024-03-18-nestle-funding-research-in-africa-is-this-corporate-capture/")</f>
        <v>https://www.dailymaverick.co.za/article/2024-03-18-nestle-funding-research-in-africa-is-this-corporate-capture/</v>
      </c>
      <c r="C972" s="2" t="s">
        <v>3174</v>
      </c>
      <c r="D972" s="3">
        <v>45369.648877314823</v>
      </c>
      <c r="E972" s="2" t="s">
        <v>495</v>
      </c>
    </row>
    <row r="973" spans="1:5" ht="70" x14ac:dyDescent="0.2">
      <c r="A973" s="2" t="s">
        <v>490</v>
      </c>
      <c r="B973" s="2" t="str">
        <f>HYPERLINK("https://www.banoyi.com/conflicts-of-interest-op-ed-nestle-partnership-with-university-of-pretoria-raises-critical-corporate-capture-questions-part-2-807087.html")</f>
        <v>https://www.banoyi.com/conflicts-of-interest-op-ed-nestle-partnership-with-university-of-pretoria-raises-critical-corporate-capture-questions-part-2-807087.html</v>
      </c>
      <c r="C973" s="2" t="s">
        <v>491</v>
      </c>
      <c r="D973" s="3">
        <v>45369.654178240737</v>
      </c>
      <c r="E973" s="2" t="s">
        <v>492</v>
      </c>
    </row>
    <row r="974" spans="1:5" ht="70" x14ac:dyDescent="0.2">
      <c r="A974" s="2" t="s">
        <v>494</v>
      </c>
      <c r="B974" s="2" t="str">
        <f>HYPERLINK("https://www.banoyi.com/conflicts-of-interest-op-ed-transformative-partnership-or-corporate-capture-nestle-funding-research-in-africa-part-1-807088.html")</f>
        <v>https://www.banoyi.com/conflicts-of-interest-op-ed-transformative-partnership-or-corporate-capture-nestle-funding-research-in-africa-part-1-807088.html</v>
      </c>
      <c r="C974" s="2" t="s">
        <v>491</v>
      </c>
      <c r="D974" s="3">
        <v>45369.65420138889</v>
      </c>
      <c r="E974" s="2" t="s">
        <v>495</v>
      </c>
    </row>
    <row r="975" spans="1:5" ht="56" x14ac:dyDescent="0.2">
      <c r="A975" s="2" t="s">
        <v>1335</v>
      </c>
      <c r="B975" s="2" t="str">
        <f>HYPERLINK("https://vnexplorer.net/nestle-partnership-with-university-of-pretoria-raises-critical-corporate-capture-questions-part-2-s1967961.html")</f>
        <v>https://vnexplorer.net/nestle-partnership-with-university-of-pretoria-raises-critical-corporate-capture-questions-part-2-s1967961.html</v>
      </c>
      <c r="C975" s="2" t="s">
        <v>1334</v>
      </c>
      <c r="D975" s="3">
        <v>45369.773043981477</v>
      </c>
      <c r="E975" s="2" t="s">
        <v>1336</v>
      </c>
    </row>
    <row r="976" spans="1:5" ht="56" x14ac:dyDescent="0.2">
      <c r="A976" s="2" t="s">
        <v>1069</v>
      </c>
      <c r="B976" s="2" t="str">
        <f>HYPERLINK("https://newsexplorer.net/nestle-partnership-with-university-of-pretoria-raises-critical-corporate-capture-questions-part-2-s1967961.html")</f>
        <v>https://newsexplorer.net/nestle-partnership-with-university-of-pretoria-raises-critical-corporate-capture-questions-part-2-s1967961.html</v>
      </c>
      <c r="C976" s="2" t="s">
        <v>1067</v>
      </c>
      <c r="D976" s="3">
        <v>45370.106377314813</v>
      </c>
      <c r="E976" s="2" t="s">
        <v>492</v>
      </c>
    </row>
    <row r="977" spans="1:5" ht="70" x14ac:dyDescent="0.2">
      <c r="A977" s="2" t="s">
        <v>349</v>
      </c>
      <c r="B977" s="2" t="str">
        <f>HYPERLINK("https://headtopics.com/us/kombucha-and-nootropics-are-all-the-rage-do-these-drinks-49669208")</f>
        <v>https://headtopics.com/us/kombucha-and-nootropics-are-all-the-rage-do-these-drinks-49669208</v>
      </c>
      <c r="C977" s="2" t="s">
        <v>2534</v>
      </c>
      <c r="D977" s="3">
        <v>45371.033333333333</v>
      </c>
      <c r="E977" s="2" t="s">
        <v>2654</v>
      </c>
    </row>
    <row r="978" spans="1:5" ht="70" x14ac:dyDescent="0.2">
      <c r="A978" s="2" t="s">
        <v>3331</v>
      </c>
      <c r="B978" s="2" t="str">
        <f>HYPERLINK("https://www.morningstar.com/news/marketwatch/20240321241/is-americas-love-of-ice-cream-melting-away-unilevers-break-up-with-ben-jerrys-isnt-the-only-sign")</f>
        <v>https://www.morningstar.com/news/marketwatch/20240321241/is-americas-love-of-ice-cream-melting-away-unilevers-break-up-with-ben-jerrys-isnt-the-only-sign</v>
      </c>
      <c r="C978" s="2" t="s">
        <v>3332</v>
      </c>
      <c r="D978" s="3">
        <v>45372.25</v>
      </c>
      <c r="E978" s="2" t="s">
        <v>3333</v>
      </c>
    </row>
    <row r="979" spans="1:5" ht="56" x14ac:dyDescent="0.2">
      <c r="A979" s="2" t="s">
        <v>3533</v>
      </c>
      <c r="B979" s="2" t="str">
        <f>HYPERLINK("https://www.marketwatch.com/story/is-americas-love-of-ice-cream-melting-away-unilevers-break-up-with-ben-jerrys-isnt-the-only-sign-4ef1729a")</f>
        <v>https://www.marketwatch.com/story/is-americas-love-of-ice-cream-melting-away-unilevers-break-up-with-ben-jerrys-isnt-the-only-sign-4ef1729a</v>
      </c>
      <c r="C979" s="2" t="s">
        <v>3534</v>
      </c>
      <c r="D979" s="3">
        <v>45372.25</v>
      </c>
      <c r="E979" s="2" t="s">
        <v>3535</v>
      </c>
    </row>
    <row r="980" spans="1:5" ht="70" x14ac:dyDescent="0.2">
      <c r="A980" s="2" t="s">
        <v>3533</v>
      </c>
      <c r="B980" s="2" t="str">
        <f>HYPERLINK("https://www.marketwatch.com/story/is-americas-love-of-ice-cream-melting-away-unilevers-break-up-with-ben-jerrys-isnt-the-only-sign-4ef1729a?mod=mw_rss_topstories")</f>
        <v>https://www.marketwatch.com/story/is-americas-love-of-ice-cream-melting-away-unilevers-break-up-with-ben-jerrys-isnt-the-only-sign-4ef1729a?mod=mw_rss_topstories</v>
      </c>
      <c r="C980" s="2" t="s">
        <v>3534</v>
      </c>
      <c r="D980" s="3">
        <v>45372.260625000003</v>
      </c>
      <c r="E980" s="2" t="s">
        <v>3535</v>
      </c>
    </row>
    <row r="981" spans="1:5" ht="70" x14ac:dyDescent="0.2">
      <c r="A981" s="2" t="s">
        <v>3331</v>
      </c>
      <c r="B981" s="2" t="str">
        <f>HYPERLINK("https://www.morningstar.com/news/marketwatch/20240321376/is-americas-love-of-ice-cream-melting-away-unilevers-break-up-with-ben-jerrys-isnt-the-only-sign")</f>
        <v>https://www.morningstar.com/news/marketwatch/20240321376/is-americas-love-of-ice-cream-melting-away-unilevers-break-up-with-ben-jerrys-isnt-the-only-sign</v>
      </c>
      <c r="C981" s="2" t="s">
        <v>3332</v>
      </c>
      <c r="D981" s="3">
        <v>45372.539583333331</v>
      </c>
      <c r="E981" s="2" t="s">
        <v>3333</v>
      </c>
    </row>
    <row r="982" spans="1:5" ht="56" x14ac:dyDescent="0.2">
      <c r="A982" s="2" t="s">
        <v>141</v>
      </c>
      <c r="B982" s="2" t="str">
        <f>HYPERLINK("https://bitebi.com/weekend-reading-family-monopolies-over-food/")</f>
        <v>https://bitebi.com/weekend-reading-family-monopolies-over-food/</v>
      </c>
      <c r="C982" s="2" t="s">
        <v>15</v>
      </c>
      <c r="D982" s="3">
        <v>45373.402002314811</v>
      </c>
      <c r="E982" s="2" t="s">
        <v>142</v>
      </c>
    </row>
    <row r="983" spans="1:5" ht="84" x14ac:dyDescent="0.2">
      <c r="A983" s="2" t="s">
        <v>4115</v>
      </c>
      <c r="B983" s="2" t="str">
        <f>HYPERLINK("https://lesdamessf.org/event-5615276")</f>
        <v>https://lesdamessf.org/event-5615276</v>
      </c>
      <c r="C983" s="2" t="s">
        <v>4116</v>
      </c>
      <c r="D983" s="3">
        <v>45373.585798611108</v>
      </c>
      <c r="E983" s="2" t="s">
        <v>4117</v>
      </c>
    </row>
    <row r="984" spans="1:5" ht="42" x14ac:dyDescent="0.2">
      <c r="A984" s="2" t="s">
        <v>2524</v>
      </c>
      <c r="B984" s="2" t="str">
        <f>HYPERLINK("https://manilastandard.net/pets/314428976/how-to-choose-dry-dog-food-and-cat-food.html")</f>
        <v>https://manilastandard.net/pets/314428976/how-to-choose-dry-dog-food-and-cat-food.html</v>
      </c>
      <c r="C984" s="2" t="s">
        <v>2525</v>
      </c>
      <c r="D984" s="3">
        <v>45374.354166666657</v>
      </c>
      <c r="E984" s="2" t="s">
        <v>2526</v>
      </c>
    </row>
    <row r="985" spans="1:5" ht="84" x14ac:dyDescent="0.2">
      <c r="A985" s="2" t="s">
        <v>3227</v>
      </c>
      <c r="B985" s="2" t="str">
        <f>HYPERLINK("https://www.tportal.hr/lifestyle/clanak/jeste-li-sigurni-da-kupujete-zdravu-hranu-ovako-cete-prepoznati-ultrapreradene-namirnice-20240323")</f>
        <v>https://www.tportal.hr/lifestyle/clanak/jeste-li-sigurni-da-kupujete-zdravu-hranu-ovako-cete-prepoznati-ultrapreradene-namirnice-20240323</v>
      </c>
      <c r="C985" s="2" t="s">
        <v>3225</v>
      </c>
      <c r="D985" s="3">
        <v>45374.576342592591</v>
      </c>
      <c r="E985" s="2" t="s">
        <v>3228</v>
      </c>
    </row>
    <row r="986" spans="1:5" ht="84" x14ac:dyDescent="0.2">
      <c r="A986" s="2" t="s">
        <v>1190</v>
      </c>
      <c r="B986" s="2" t="str">
        <f>HYPERLINK("https://awfj.org/blog/2024/03/21/food-inc-2-review-by-april-neale/")</f>
        <v>https://awfj.org/blog/2024/03/21/food-inc-2-review-by-april-neale/</v>
      </c>
      <c r="C986" s="2" t="s">
        <v>1191</v>
      </c>
      <c r="D986" s="3">
        <v>45374.949907407397</v>
      </c>
      <c r="E986" s="2" t="s">
        <v>1192</v>
      </c>
    </row>
    <row r="987" spans="1:5" ht="84" x14ac:dyDescent="0.2">
      <c r="A987" s="2" t="s">
        <v>4112</v>
      </c>
      <c r="B987" s="2" t="str">
        <f>HYPERLINK("https://www.diasvet.cz/etikety-na-jogurtech-ktere-naznacuji-ze-mohou-snizit-riziko-vzniku-cukrovky-2-typu-prestoze-obsahuji-vysoke-hladiny-cukru/")</f>
        <v>https://www.diasvet.cz/etikety-na-jogurtech-ktere-naznacuji-ze-mohou-snizit-riziko-vzniku-cukrovky-2-typu-prestoze-obsahuji-vysoke-hladiny-cukru/</v>
      </c>
      <c r="C987" s="2" t="s">
        <v>4113</v>
      </c>
      <c r="D987" s="3">
        <v>45377.318553240737</v>
      </c>
      <c r="E987" s="2" t="s">
        <v>4114</v>
      </c>
    </row>
    <row r="988" spans="1:5" ht="84" x14ac:dyDescent="0.2">
      <c r="A988" s="2" t="s">
        <v>1298</v>
      </c>
      <c r="B988" s="2" t="str">
        <f>HYPERLINK("https://www.nycfoodpolicy.org/celebrating-womens-impact-in-food-policy/")</f>
        <v>https://www.nycfoodpolicy.org/celebrating-womens-impact-in-food-policy/</v>
      </c>
      <c r="C988" s="2" t="s">
        <v>1296</v>
      </c>
      <c r="D988" s="3">
        <v>45377.837314814817</v>
      </c>
      <c r="E988" s="2" t="s">
        <v>1299</v>
      </c>
    </row>
    <row r="989" spans="1:5" ht="70" x14ac:dyDescent="0.2">
      <c r="A989" s="2" t="s">
        <v>1980</v>
      </c>
      <c r="B989" s="2" t="str">
        <f>HYPERLINK("https://www.inhetnieuws.nl/nieuws/voeding/eet-gewoon-wat-je-voorouders-ook-al-aten/12690645")</f>
        <v>https://www.inhetnieuws.nl/nieuws/voeding/eet-gewoon-wat-je-voorouders-ook-al-aten/12690645</v>
      </c>
      <c r="C989" s="2" t="s">
        <v>3980</v>
      </c>
      <c r="D989" s="3">
        <v>45378</v>
      </c>
      <c r="E989" s="2" t="s">
        <v>4075</v>
      </c>
    </row>
    <row r="990" spans="1:5" ht="224" x14ac:dyDescent="0.2">
      <c r="A990" s="2" t="s">
        <v>1980</v>
      </c>
      <c r="B990" s="2" t="str">
        <f>HYPERLINK("https://www.foodlog.nl/artikel/flash/eet-gewoon-wat-je-voorouders-ook-al-aten/")</f>
        <v>https://www.foodlog.nl/artikel/flash/eet-gewoon-wat-je-voorouders-ook-al-aten/</v>
      </c>
      <c r="C990" s="2" t="s">
        <v>1891</v>
      </c>
      <c r="D990" s="3">
        <v>45378.10597222222</v>
      </c>
      <c r="E990" s="2" t="s">
        <v>1981</v>
      </c>
    </row>
    <row r="991" spans="1:5" ht="42" x14ac:dyDescent="0.2">
      <c r="A991" s="2" t="s">
        <v>270</v>
      </c>
      <c r="B991" s="2" t="str">
        <f>HYPERLINK("https://www.armwoodopinion.com/2024/03/10-nutrition-myths-experts-wish-would.html")</f>
        <v>https://www.armwoodopinion.com/2024/03/10-nutrition-myths-experts-wish-would.html</v>
      </c>
      <c r="C991" s="2" t="s">
        <v>271</v>
      </c>
      <c r="D991" s="3">
        <v>45378.435648148137</v>
      </c>
      <c r="E991" s="2" t="s">
        <v>272</v>
      </c>
    </row>
    <row r="992" spans="1:5" ht="70" x14ac:dyDescent="0.2">
      <c r="A992" s="2" t="s">
        <v>2419</v>
      </c>
      <c r="B992" s="2" t="str">
        <f>HYPERLINK("https://espanol.medscape.com/verarticulo/5912184")</f>
        <v>https://espanol.medscape.com/verarticulo/5912184</v>
      </c>
      <c r="C992" s="2" t="s">
        <v>2420</v>
      </c>
      <c r="D992" s="3">
        <v>45380</v>
      </c>
      <c r="E992" s="2" t="s">
        <v>2421</v>
      </c>
    </row>
    <row r="993" spans="1:5" ht="42" x14ac:dyDescent="0.2">
      <c r="A993" s="2" t="s">
        <v>175</v>
      </c>
      <c r="B993" s="2" t="str">
        <f>HYPERLINK("https://bitebi.com/weekend-reading-practicing-food-studies/")</f>
        <v>https://bitebi.com/weekend-reading-practicing-food-studies/</v>
      </c>
      <c r="C993" s="2" t="s">
        <v>15</v>
      </c>
      <c r="D993" s="3">
        <v>45380.607789351852</v>
      </c>
      <c r="E993" s="2" t="s">
        <v>25</v>
      </c>
    </row>
    <row r="994" spans="1:5" ht="70" x14ac:dyDescent="0.2">
      <c r="A994" s="2" t="s">
        <v>3681</v>
      </c>
      <c r="B994" s="2" t="str">
        <f>HYPERLINK("https://www.dailymail.co.uk/health/article-13252925/Six-misleading-food-labels-wrecking-weight-loss-health-goals-no-cholesterol-lightly-sweetened.html")</f>
        <v>https://www.dailymail.co.uk/health/article-13252925/Six-misleading-food-labels-wrecking-weight-loss-health-goals-no-cholesterol-lightly-sweetened.html</v>
      </c>
      <c r="C994" s="2" t="s">
        <v>3655</v>
      </c>
      <c r="D994" s="3">
        <v>45380.668796296297</v>
      </c>
      <c r="E994" s="2" t="s">
        <v>3682</v>
      </c>
    </row>
    <row r="995" spans="1:5" ht="70" x14ac:dyDescent="0.2">
      <c r="A995" s="2" t="s">
        <v>86</v>
      </c>
      <c r="B995" s="2" t="str">
        <f>HYPERLINK("https://bitebi.com/beef-industry-request-for-research-proposals-act-quickly-not-an-april-1-joke/")</f>
        <v>https://bitebi.com/beef-industry-request-for-research-proposals-act-quickly-not-an-april-1-joke/</v>
      </c>
      <c r="C995" s="2" t="s">
        <v>15</v>
      </c>
      <c r="D995" s="3">
        <v>45383.398472222223</v>
      </c>
      <c r="E995" s="2" t="s">
        <v>87</v>
      </c>
    </row>
    <row r="996" spans="1:5" ht="84" x14ac:dyDescent="0.2">
      <c r="A996" s="2" t="s">
        <v>1796</v>
      </c>
      <c r="B996" s="2" t="str">
        <f>HYPERLINK("https://www.epochtimes.com.br/rotulo-organico-nao-tem-o-mesmo-significado-de-antes-especialista_196603.html")</f>
        <v>https://www.epochtimes.com.br/rotulo-organico-nao-tem-o-mesmo-significado-de-antes-especialista_196603.html</v>
      </c>
      <c r="C996" s="2" t="s">
        <v>1797</v>
      </c>
      <c r="D996" s="3">
        <v>45388.661562499998</v>
      </c>
      <c r="E996" s="2" t="s">
        <v>1798</v>
      </c>
    </row>
    <row r="997" spans="1:5" ht="98" x14ac:dyDescent="0.2">
      <c r="A997" s="2" t="s">
        <v>1666</v>
      </c>
      <c r="B997" s="2" t="str">
        <f>HYPERLINK("https://efeagro.com/agroalimentacion-redes-sociales-mar-24/")</f>
        <v>https://efeagro.com/agroalimentacion-redes-sociales-mar-24/</v>
      </c>
      <c r="C997" s="2" t="s">
        <v>1667</v>
      </c>
      <c r="D997" s="3">
        <v>45389.188726851848</v>
      </c>
      <c r="E997" s="2" t="s">
        <v>1668</v>
      </c>
    </row>
    <row r="998" spans="1:5" ht="42" x14ac:dyDescent="0.2">
      <c r="A998" s="2" t="s">
        <v>1806</v>
      </c>
      <c r="B998" s="2" t="str">
        <f>HYPERLINK("https://www.foodretail.es/shoppers/agroalimentacion-marketing-miedo-redes-sociales_0_1864613521.html")</f>
        <v>https://www.foodretail.es/shoppers/agroalimentacion-marketing-miedo-redes-sociales_0_1864613521.html</v>
      </c>
      <c r="C998" s="2" t="s">
        <v>1807</v>
      </c>
      <c r="D998" s="3">
        <v>45389.280347222222</v>
      </c>
      <c r="E998" s="2" t="s">
        <v>1808</v>
      </c>
    </row>
    <row r="999" spans="1:5" ht="98" x14ac:dyDescent="0.2">
      <c r="A999" s="2" t="s">
        <v>404</v>
      </c>
      <c r="B999" s="2" t="str">
        <f>HYPERLINK("https://www.dailymail.co.uk/wellness-us/article-13284721/unhealthiest-foods-eat-planet.html")</f>
        <v>https://www.dailymail.co.uk/wellness-us/article-13284721/unhealthiest-foods-eat-planet.html</v>
      </c>
      <c r="C999" s="2" t="s">
        <v>3655</v>
      </c>
      <c r="D999" s="3">
        <v>45390.653043981481</v>
      </c>
      <c r="E999" s="2" t="s">
        <v>3684</v>
      </c>
    </row>
    <row r="1000" spans="1:5" ht="98" x14ac:dyDescent="0.2">
      <c r="A1000" s="2" t="s">
        <v>404</v>
      </c>
      <c r="B1000" s="2" t="str">
        <f>HYPERLINK("https://pressnewsagency.org/dietitians-reveal-the-100-unhealthiest-foods-in-your-supermarket-including-margarine-pickles-and-stock-cubes/")</f>
        <v>https://pressnewsagency.org/dietitians-reveal-the-100-unhealthiest-foods-in-your-supermarket-including-margarine-pickles-and-stock-cubes/</v>
      </c>
      <c r="C1000" s="2" t="s">
        <v>394</v>
      </c>
      <c r="D1000" s="3">
        <v>45390.736666666657</v>
      </c>
      <c r="E1000" s="2" t="s">
        <v>405</v>
      </c>
    </row>
    <row r="1001" spans="1:5" ht="126" x14ac:dyDescent="0.2">
      <c r="A1001" s="2" t="s">
        <v>404</v>
      </c>
      <c r="B1001" s="2" t="str">
        <f>HYPERLINK("https://pedfire.com/dietitians-reveal-the-100-unhealthiest-foods-in-your-supermarket-including-margarine-pickles-and-stock-cubes/")</f>
        <v>https://pedfire.com/dietitians-reveal-the-100-unhealthiest-foods-in-your-supermarket-including-margarine-pickles-and-stock-cubes/</v>
      </c>
      <c r="C1001" s="2" t="s">
        <v>446</v>
      </c>
      <c r="D1001" s="3">
        <v>45390.741319444453</v>
      </c>
      <c r="E1001" s="2" t="s">
        <v>452</v>
      </c>
    </row>
    <row r="1002" spans="1:5" ht="42" x14ac:dyDescent="0.2">
      <c r="A1002" s="2" t="s">
        <v>3913</v>
      </c>
      <c r="B1002" s="2" t="str">
        <f>HYPERLINK("https://news.india24.press/health/59878.html")</f>
        <v>https://news.india24.press/health/59878.html</v>
      </c>
      <c r="C1002" s="2" t="s">
        <v>3914</v>
      </c>
      <c r="D1002" s="3">
        <v>45390.910543981481</v>
      </c>
      <c r="E1002" s="2" t="s">
        <v>3915</v>
      </c>
    </row>
    <row r="1003" spans="1:5" ht="70" x14ac:dyDescent="0.2">
      <c r="A1003" s="2" t="s">
        <v>4050</v>
      </c>
      <c r="B1003" s="2" t="str">
        <f>HYPERLINK("https://www.vrg.org/blog/2024/04/09/health-claims-on-yogurt/")</f>
        <v>https://www.vrg.org/blog/2024/04/09/health-claims-on-yogurt/</v>
      </c>
      <c r="C1003" s="2" t="s">
        <v>4051</v>
      </c>
      <c r="D1003" s="3">
        <v>45391</v>
      </c>
      <c r="E1003" s="2" t="s">
        <v>4052</v>
      </c>
    </row>
    <row r="1004" spans="1:5" ht="56" x14ac:dyDescent="0.2">
      <c r="A1004" s="2" t="s">
        <v>563</v>
      </c>
      <c r="B1004" s="2" t="str">
        <f>HYPERLINK("https://news.cornell.edu/stories/2024/04/marion-nestle-discuss-food-politics-wolitzer-seminar")</f>
        <v>https://news.cornell.edu/stories/2024/04/marion-nestle-discuss-food-politics-wolitzer-seminar</v>
      </c>
      <c r="C1004" s="2" t="s">
        <v>2319</v>
      </c>
      <c r="D1004" s="3">
        <v>45392</v>
      </c>
      <c r="E1004" s="2" t="s">
        <v>565</v>
      </c>
    </row>
    <row r="1005" spans="1:5" ht="70" x14ac:dyDescent="0.2">
      <c r="A1005" s="2" t="s">
        <v>449</v>
      </c>
      <c r="B1005" s="2" t="str">
        <f>HYPERLINK("https://www.washingtonpost.com/health/2024/04/10/lunchables-lead-consumer-reports-school-cafeteria/")</f>
        <v>https://www.washingtonpost.com/health/2024/04/10/lunchables-lead-consumer-reports-school-cafeteria/</v>
      </c>
      <c r="C1005" s="2" t="s">
        <v>3634</v>
      </c>
      <c r="D1005" s="3">
        <v>45392.537488425929</v>
      </c>
      <c r="E1005" s="2" t="s">
        <v>403</v>
      </c>
    </row>
    <row r="1006" spans="1:5" ht="70" x14ac:dyDescent="0.2">
      <c r="A1006" s="2" t="s">
        <v>402</v>
      </c>
      <c r="B1006" s="2" t="str">
        <f>HYPERLINK("https://www.bigrapidsnews.com/news/article/lunchables-under-fire-after-reports-of-concerning-19395934.php")</f>
        <v>https://www.bigrapidsnews.com/news/article/lunchables-under-fire-after-reports-of-concerning-19395934.php</v>
      </c>
      <c r="C1006" s="2" t="s">
        <v>1771</v>
      </c>
      <c r="D1006" s="3">
        <v>45392.554178240738</v>
      </c>
      <c r="E1006" s="2" t="s">
        <v>403</v>
      </c>
    </row>
    <row r="1007" spans="1:5" ht="70" x14ac:dyDescent="0.2">
      <c r="A1007" s="2" t="s">
        <v>402</v>
      </c>
      <c r="B1007" s="2" t="str">
        <f>HYPERLINK("http://www.michigansthumb.com/news/article/lunchables-under-fire-after-reports-of-concerning-19395934.php")</f>
        <v>http://www.michigansthumb.com/news/article/lunchables-under-fire-after-reports-of-concerning-19395934.php</v>
      </c>
      <c r="C1007" s="2" t="s">
        <v>2011</v>
      </c>
      <c r="D1007" s="3">
        <v>45392.554178240738</v>
      </c>
      <c r="E1007" s="2" t="s">
        <v>403</v>
      </c>
    </row>
    <row r="1008" spans="1:5" ht="70" x14ac:dyDescent="0.2">
      <c r="A1008" s="2" t="s">
        <v>402</v>
      </c>
      <c r="B1008" s="2" t="str">
        <f>HYPERLINK("https://eu.detroitnews.com/story/life/wellness/2024/04/10/lunchables-under-fire-after-reports-of-concerning-lead-sodium-levels/73277499007/")</f>
        <v>https://eu.detroitnews.com/story/life/wellness/2024/04/10/lunchables-under-fire-after-reports-of-concerning-lead-sodium-levels/73277499007/</v>
      </c>
      <c r="C1008" s="2" t="s">
        <v>3191</v>
      </c>
      <c r="D1008" s="3">
        <v>45392.570902777778</v>
      </c>
      <c r="E1008" s="2" t="s">
        <v>403</v>
      </c>
    </row>
    <row r="1009" spans="1:5" ht="70" x14ac:dyDescent="0.2">
      <c r="A1009" s="2" t="s">
        <v>402</v>
      </c>
      <c r="B1009" s="2" t="str">
        <f>HYPERLINK("https://headtopics.com/us/lunchables-under-fire-after-reports-of-concerning-lead-50673198")</f>
        <v>https://headtopics.com/us/lunchables-under-fire-after-reports-of-concerning-lead-50673198</v>
      </c>
      <c r="C1009" s="2" t="s">
        <v>2534</v>
      </c>
      <c r="D1009" s="3">
        <v>45392.580555555563</v>
      </c>
      <c r="E1009" s="2" t="s">
        <v>403</v>
      </c>
    </row>
    <row r="1010" spans="1:5" ht="70" x14ac:dyDescent="0.2">
      <c r="A1010" s="2" t="s">
        <v>2160</v>
      </c>
      <c r="B1010" s="2" t="str">
        <f>HYPERLINK("https://www.ediblecommunities.com/podcasts/food-inc-2-michael-pollan-and-melissa-robledo-are-back-for-seconds/")</f>
        <v>https://www.ediblecommunities.com/podcasts/food-inc-2-michael-pollan-and-melissa-robledo-are-back-for-seconds/</v>
      </c>
      <c r="C1010" s="2" t="s">
        <v>2158</v>
      </c>
      <c r="D1010" s="3">
        <v>45392.582418981481</v>
      </c>
      <c r="E1010" s="2" t="s">
        <v>2161</v>
      </c>
    </row>
    <row r="1011" spans="1:5" ht="70" x14ac:dyDescent="0.2">
      <c r="A1011" s="2" t="s">
        <v>449</v>
      </c>
      <c r="B1011" s="2" t="str">
        <f>HYPERLINK("https://fynefettle.com/lunchables-have-high-levels-of-lead-and-sodium-consumer-reports-finds/")</f>
        <v>https://fynefettle.com/lunchables-have-high-levels-of-lead-and-sodium-consumer-reports-finds/</v>
      </c>
      <c r="C1011" s="2" t="s">
        <v>555</v>
      </c>
      <c r="D1011" s="3">
        <v>45392.601377314822</v>
      </c>
      <c r="E1011" s="2" t="s">
        <v>403</v>
      </c>
    </row>
    <row r="1012" spans="1:5" ht="70" x14ac:dyDescent="0.2">
      <c r="A1012" s="2" t="s">
        <v>402</v>
      </c>
      <c r="B1012" s="2" t="str">
        <f>HYPERLINK("https://pressnewsagency.org/lunchables-under-fire-after-reports-of-concerning-lead-sodium-levels/")</f>
        <v>https://pressnewsagency.org/lunchables-under-fire-after-reports-of-concerning-lead-sodium-levels/</v>
      </c>
      <c r="C1012" s="2" t="s">
        <v>394</v>
      </c>
      <c r="D1012" s="3">
        <v>45392.613067129627</v>
      </c>
      <c r="E1012" s="2" t="s">
        <v>403</v>
      </c>
    </row>
    <row r="1013" spans="1:5" ht="70" x14ac:dyDescent="0.2">
      <c r="A1013" s="2" t="s">
        <v>449</v>
      </c>
      <c r="B1013" s="2" t="str">
        <f>HYPERLINK("https://pedfire.com/lunchables-have-high-levels-of-lead-and-sodium-consumer-reports-finds/")</f>
        <v>https://pedfire.com/lunchables-have-high-levels-of-lead-and-sodium-consumer-reports-finds/</v>
      </c>
      <c r="C1013" s="2" t="s">
        <v>446</v>
      </c>
      <c r="D1013" s="3">
        <v>45392.614351851851</v>
      </c>
      <c r="E1013" s="2" t="s">
        <v>403</v>
      </c>
    </row>
    <row r="1014" spans="1:5" ht="70" x14ac:dyDescent="0.2">
      <c r="A1014" s="2" t="s">
        <v>628</v>
      </c>
      <c r="B1014" s="2" t="str">
        <f>HYPERLINK("https://newsbeezer.com/according-to-consumer-reports-lunchables-are-high-in-lead-and-sodium/")</f>
        <v>https://newsbeezer.com/according-to-consumer-reports-lunchables-are-high-in-lead-and-sodium/</v>
      </c>
      <c r="C1014" s="2" t="s">
        <v>629</v>
      </c>
      <c r="D1014" s="3">
        <v>45392.618368055562</v>
      </c>
      <c r="E1014" s="2" t="s">
        <v>630</v>
      </c>
    </row>
    <row r="1015" spans="1:5" ht="70" x14ac:dyDescent="0.2">
      <c r="A1015" s="2" t="s">
        <v>402</v>
      </c>
      <c r="B1015" s="2" t="str">
        <f>HYPERLINK("https://www.pressherald.com/2024/04/10/lunchables-under-fire-after-reports-of-concerning-lead-sodium-levels/")</f>
        <v>https://www.pressherald.com/2024/04/10/lunchables-under-fire-after-reports-of-concerning-lead-sodium-levels/</v>
      </c>
      <c r="C1015" s="2" t="s">
        <v>2767</v>
      </c>
      <c r="D1015" s="3">
        <v>45392.642951388887</v>
      </c>
      <c r="E1015" s="2" t="s">
        <v>403</v>
      </c>
    </row>
    <row r="1016" spans="1:5" ht="84" x14ac:dyDescent="0.2">
      <c r="A1016" s="2" t="s">
        <v>449</v>
      </c>
      <c r="B1016" s="2" t="str">
        <f>HYPERLINK("https://goodwordnews.com/lunchables-have-high-levels-of-lead-and-sodium-consumer-reports-finds/")</f>
        <v>https://goodwordnews.com/lunchables-have-high-levels-of-lead-and-sodium-consumer-reports-finds/</v>
      </c>
      <c r="C1016" s="2" t="s">
        <v>472</v>
      </c>
      <c r="D1016" s="3">
        <v>45392.648402777777</v>
      </c>
      <c r="E1016" s="2" t="s">
        <v>474</v>
      </c>
    </row>
    <row r="1017" spans="1:5" ht="70" x14ac:dyDescent="0.2">
      <c r="A1017" s="2" t="s">
        <v>4207</v>
      </c>
      <c r="B1017" s="2" t="str">
        <f>HYPERLINK("https://newsfounded.com/lunch-boxes-have-high-levels-of-lead-and-sodium-according-to-consumer-reports/")</f>
        <v>https://newsfounded.com/lunch-boxes-have-high-levels-of-lead-and-sodium-according-to-consumer-reports/</v>
      </c>
      <c r="C1017" s="2" t="s">
        <v>3771</v>
      </c>
      <c r="D1017" s="3">
        <v>45392.657777777778</v>
      </c>
      <c r="E1017" s="2" t="s">
        <v>4208</v>
      </c>
    </row>
    <row r="1018" spans="1:5" ht="70" x14ac:dyDescent="0.2">
      <c r="A1018" s="2" t="s">
        <v>402</v>
      </c>
      <c r="B1018" s="2" t="str">
        <f>HYPERLINK("https://www.sunjournal.com/2024/04/10/lunchables-under-fire-after-reports-of-concerning-lead-sodium-levels/")</f>
        <v>https://www.sunjournal.com/2024/04/10/lunchables-under-fire-after-reports-of-concerning-lead-sodium-levels/</v>
      </c>
      <c r="C1018" s="2" t="s">
        <v>2367</v>
      </c>
      <c r="D1018" s="3">
        <v>45392.661527777767</v>
      </c>
      <c r="E1018" s="2" t="s">
        <v>403</v>
      </c>
    </row>
    <row r="1019" spans="1:5" ht="70" x14ac:dyDescent="0.2">
      <c r="A1019" s="2" t="s">
        <v>402</v>
      </c>
      <c r="B1019" s="2" t="str">
        <f>HYPERLINK("https://www.seattletimes.com/nation-world/lunchables-under-fire-after-reports-of-concerning-lead-sodium-levels/")</f>
        <v>https://www.seattletimes.com/nation-world/lunchables-under-fire-after-reports-of-concerning-lead-sodium-levels/</v>
      </c>
      <c r="C1019" s="2" t="s">
        <v>3375</v>
      </c>
      <c r="D1019" s="3">
        <v>45392.666550925933</v>
      </c>
      <c r="E1019" s="2" t="s">
        <v>403</v>
      </c>
    </row>
    <row r="1020" spans="1:5" ht="98" x14ac:dyDescent="0.2">
      <c r="A1020" s="2" t="s">
        <v>3796</v>
      </c>
      <c r="B1020" s="2" t="str">
        <f>HYPERLINK("https://timesng.com/consumer-reports-urges-removal/")</f>
        <v>https://timesng.com/consumer-reports-urges-removal/</v>
      </c>
      <c r="C1020" s="2" t="s">
        <v>3797</v>
      </c>
      <c r="D1020" s="3">
        <v>45392.678935185177</v>
      </c>
      <c r="E1020" s="2" t="s">
        <v>3798</v>
      </c>
    </row>
    <row r="1021" spans="1:5" ht="70" x14ac:dyDescent="0.2">
      <c r="A1021" s="2" t="s">
        <v>1610</v>
      </c>
      <c r="B1021" s="2" t="str">
        <f>HYPERLINK("https://www.infobae.com/wapo/2024/04/11/padres-piden-eliminar-lunchables-de-escuelas-en-eeuu-por-altos-niveles-de-sodio-y-plomo/")</f>
        <v>https://www.infobae.com/wapo/2024/04/11/padres-piden-eliminar-lunchables-de-escuelas-en-eeuu-por-altos-niveles-de-sodio-y-plomo/</v>
      </c>
      <c r="C1021" s="2" t="s">
        <v>3689</v>
      </c>
      <c r="D1021" s="3">
        <v>45392.933703703697</v>
      </c>
      <c r="E1021" s="2" t="s">
        <v>1611</v>
      </c>
    </row>
    <row r="1022" spans="1:5" ht="70" x14ac:dyDescent="0.2">
      <c r="A1022" s="2" t="s">
        <v>1610</v>
      </c>
      <c r="B1022" s="2" t="str">
        <f>HYPERLINK("https://lado.mx/noticia.php?id=15673746")</f>
        <v>https://lado.mx/noticia.php?id=15673746</v>
      </c>
      <c r="C1022" s="2" t="s">
        <v>1599</v>
      </c>
      <c r="D1022" s="3">
        <v>45392.940659722219</v>
      </c>
      <c r="E1022" s="2" t="s">
        <v>1611</v>
      </c>
    </row>
    <row r="1023" spans="1:5" ht="70" x14ac:dyDescent="0.2">
      <c r="A1023" s="2" t="s">
        <v>880</v>
      </c>
      <c r="B1023" s="2" t="str">
        <f>HYPERLINK("https://worldofsoftware.org/lunchables-have-high-levels-of-lead-and-sodium-consumer-reports-finds/")</f>
        <v>https://worldofsoftware.org/lunchables-have-high-levels-of-lead-and-sodium-consumer-reports-finds/</v>
      </c>
      <c r="C1023" s="2" t="s">
        <v>881</v>
      </c>
      <c r="D1023" s="3">
        <v>45392.978981481479</v>
      </c>
      <c r="E1023" s="2" t="s">
        <v>403</v>
      </c>
    </row>
    <row r="1024" spans="1:5" ht="70" x14ac:dyDescent="0.2">
      <c r="A1024" s="2" t="s">
        <v>621</v>
      </c>
      <c r="B1024" s="2" t="str">
        <f>HYPERLINK("https://www.elkvalleytimes.com/entertainment/national/movie-review-food-inc-2-revisits-food-system-sees-reason-for-frustration-and-a-little/article_b118aff8-0e34-554d-832a-3f37dbdd83a7.html")</f>
        <v>https://www.elkvalleytimes.com/entertainment/national/movie-review-food-inc-2-revisits-food-system-sees-reason-for-frustration-and-a-little/article_b118aff8-0e34-554d-832a-3f37dbdd83a7.html</v>
      </c>
      <c r="C1024" s="2" t="s">
        <v>1112</v>
      </c>
      <c r="D1024" s="3">
        <v>45393</v>
      </c>
      <c r="E1024" s="2" t="s">
        <v>108</v>
      </c>
    </row>
    <row r="1025" spans="1:5" ht="70" x14ac:dyDescent="0.2">
      <c r="A1025" s="2" t="s">
        <v>621</v>
      </c>
      <c r="B1025" s="2" t="str">
        <f>HYPERLINK("https://www.wellandtribune.ca/entertainment/movie-review-food-inc-2-revisits-food-system-sees-reason-for-frustration-and-a-little/article_df3fd500-31d3-5bdc-8903-eab20428da7b.html")</f>
        <v>https://www.wellandtribune.ca/entertainment/movie-review-food-inc-2-revisits-food-system-sees-reason-for-frustration-and-a-little/article_df3fd500-31d3-5bdc-8903-eab20428da7b.html</v>
      </c>
      <c r="C1025" s="2" t="s">
        <v>1748</v>
      </c>
      <c r="D1025" s="3">
        <v>45393</v>
      </c>
      <c r="E1025" s="2" t="s">
        <v>626</v>
      </c>
    </row>
    <row r="1026" spans="1:5" ht="70" x14ac:dyDescent="0.2">
      <c r="A1026" s="2" t="s">
        <v>107</v>
      </c>
      <c r="B1026" s="2" t="str">
        <f>HYPERLINK("https://www.midfloridanewspapers.com/ap/lifestyles/movie-review-food-inc-2-revisits-food-system-sees-reason-for-frustration-and-a-little/article_bf10aa6a-0e4e-5204-ba49-5edc4809941a.html")</f>
        <v>https://www.midfloridanewspapers.com/ap/lifestyles/movie-review-food-inc-2-revisits-food-system-sees-reason-for-frustration-and-a-little/article_bf10aa6a-0e4e-5204-ba49-5edc4809941a.html</v>
      </c>
      <c r="C1026" s="2" t="s">
        <v>1749</v>
      </c>
      <c r="D1026" s="3">
        <v>45393</v>
      </c>
      <c r="E1026" s="2" t="s">
        <v>108</v>
      </c>
    </row>
    <row r="1027" spans="1:5" ht="70" x14ac:dyDescent="0.2">
      <c r="A1027" s="2" t="s">
        <v>107</v>
      </c>
      <c r="B1027" s="2" t="str">
        <f>HYPERLINK("https://www.goshennews.com/news/national_news/movie-review-food-inc-2-revisits-food-system-sees-reason-for-frustration-and-a-little/article_756826f3-55e3-5829-8737-7dd53372a019.html")</f>
        <v>https://www.goshennews.com/news/national_news/movie-review-food-inc-2-revisits-food-system-sees-reason-for-frustration-and-a-little/article_756826f3-55e3-5829-8737-7dd53372a019.html</v>
      </c>
      <c r="C1027" s="2" t="s">
        <v>1536</v>
      </c>
      <c r="D1027" s="3">
        <v>45393</v>
      </c>
      <c r="E1027" s="2" t="s">
        <v>108</v>
      </c>
    </row>
    <row r="1028" spans="1:5" ht="84" x14ac:dyDescent="0.2">
      <c r="A1028" s="2" t="s">
        <v>107</v>
      </c>
      <c r="B1028" s="2" t="str">
        <f>HYPERLINK("https://www.kentuckytoday.com/news/entertainment/movie-review-food-inc-2-revisits-food-system-sees-reason-for-frustration-and-a-little/article_de5e2762-9198-57b2-b268-b59bc5d60c6a.html")</f>
        <v>https://www.kentuckytoday.com/news/entertainment/movie-review-food-inc-2-revisits-food-system-sees-reason-for-frustration-and-a-little/article_de5e2762-9198-57b2-b268-b59bc5d60c6a.html</v>
      </c>
      <c r="C1028" s="2" t="s">
        <v>1775</v>
      </c>
      <c r="D1028" s="3">
        <v>45393</v>
      </c>
      <c r="E1028" s="2" t="s">
        <v>108</v>
      </c>
    </row>
    <row r="1029" spans="1:5" ht="84" x14ac:dyDescent="0.2">
      <c r="A1029" s="2" t="s">
        <v>107</v>
      </c>
      <c r="B1029" s="2" t="str">
        <f>HYPERLINK("https://www.rutlandherald.com/features/ap-entertainment/movie-review-food-inc-2-revisits-food-system-sees-reason-for-frustration-and-a-little/article_e4c6b22f-51d5-5a8b-9b62-a69dcd691076.html")</f>
        <v>https://www.rutlandherald.com/features/ap-entertainment/movie-review-food-inc-2-revisits-food-system-sees-reason-for-frustration-and-a-little/article_e4c6b22f-51d5-5a8b-9b62-a69dcd691076.html</v>
      </c>
      <c r="C1029" s="2" t="s">
        <v>1851</v>
      </c>
      <c r="D1029" s="3">
        <v>45393</v>
      </c>
      <c r="E1029" s="2" t="s">
        <v>108</v>
      </c>
    </row>
    <row r="1030" spans="1:5" ht="84" x14ac:dyDescent="0.2">
      <c r="A1030" s="2" t="s">
        <v>621</v>
      </c>
      <c r="B1030" s="2" t="str">
        <f>HYPERLINK("https://www.joplinglobe.com/region/national_entertainment/movie-review-food-inc-2-revisits-food-system-sees-reason-for-frustration-and-a-little/article_a1c29e07-050b-5532-bd43-028f43de2cb1.html")</f>
        <v>https://www.joplinglobe.com/region/national_entertainment/movie-review-food-inc-2-revisits-food-system-sees-reason-for-frustration-and-a-little/article_a1c29e07-050b-5532-bd43-028f43de2cb1.html</v>
      </c>
      <c r="C1030" s="2" t="s">
        <v>1896</v>
      </c>
      <c r="D1030" s="3">
        <v>45393</v>
      </c>
      <c r="E1030" s="2" t="s">
        <v>108</v>
      </c>
    </row>
    <row r="1031" spans="1:5" ht="70" x14ac:dyDescent="0.2">
      <c r="A1031" s="2" t="s">
        <v>621</v>
      </c>
      <c r="B1031" s="2" t="str">
        <f>HYPERLINK("https://www.reformer.com/ap/lifestyles/movie-review-food-inc-2-revisits-food-system-sees-reason-for-frustration-and-a-little/article_201b2010-9f4d-5731-80e6-097068ed376e.html")</f>
        <v>https://www.reformer.com/ap/lifestyles/movie-review-food-inc-2-revisits-food-system-sees-reason-for-frustration-and-a-little/article_201b2010-9f4d-5731-80e6-097068ed376e.html</v>
      </c>
      <c r="C1031" s="2" t="s">
        <v>1922</v>
      </c>
      <c r="D1031" s="3">
        <v>45393</v>
      </c>
      <c r="E1031" s="2" t="s">
        <v>108</v>
      </c>
    </row>
    <row r="1032" spans="1:5" ht="70" x14ac:dyDescent="0.2">
      <c r="A1032" s="2" t="s">
        <v>107</v>
      </c>
      <c r="B1032" s="2" t="str">
        <f>HYPERLINK("https://www.timesargus.com/movie-review-food-inc-2-revisits-food-system-sees-reason-for-frustration-and-a-little/article_ae642131-bf41-5182-95d9-e48948b35ce4.html")</f>
        <v>https://www.timesargus.com/movie-review-food-inc-2-revisits-food-system-sees-reason-for-frustration-and-a-little/article_ae642131-bf41-5182-95d9-e48948b35ce4.html</v>
      </c>
      <c r="C1032" s="2" t="s">
        <v>1944</v>
      </c>
      <c r="D1032" s="3">
        <v>45393</v>
      </c>
      <c r="E1032" s="2" t="s">
        <v>108</v>
      </c>
    </row>
    <row r="1033" spans="1:5" ht="70" x14ac:dyDescent="0.2">
      <c r="A1033" s="2" t="s">
        <v>621</v>
      </c>
      <c r="B1033" s="2" t="str">
        <f>HYPERLINK("https://www.bdtonline.com/news/entertainment/movie-review-food-inc-2-revisits-food-system-sees-reason-for-frustration-and-a-little/article_122f16cc-926a-588a-a408-a94ea49071d3.html")</f>
        <v>https://www.bdtonline.com/news/entertainment/movie-review-food-inc-2-revisits-food-system-sees-reason-for-frustration-and-a-little/article_122f16cc-926a-588a-a408-a94ea49071d3.html</v>
      </c>
      <c r="C1033" s="2" t="s">
        <v>1949</v>
      </c>
      <c r="D1033" s="3">
        <v>45393</v>
      </c>
      <c r="E1033" s="2" t="s">
        <v>108</v>
      </c>
    </row>
    <row r="1034" spans="1:5" ht="84" x14ac:dyDescent="0.2">
      <c r="A1034" s="2" t="s">
        <v>621</v>
      </c>
      <c r="B1034" s="2" t="str">
        <f>HYPERLINK("https://www.niagarafallsreview.ca/entertainment/movie-review-food-inc-2-revisits-food-system-sees-reason-for-frustration-and-a-little/article_60ac72dd-d444-5c72-a05a-8bec1bb74853.html")</f>
        <v>https://www.niagarafallsreview.ca/entertainment/movie-review-food-inc-2-revisits-food-system-sees-reason-for-frustration-and-a-little/article_60ac72dd-d444-5c72-a05a-8bec1bb74853.html</v>
      </c>
      <c r="C1034" s="2" t="s">
        <v>2004</v>
      </c>
      <c r="D1034" s="3">
        <v>45393</v>
      </c>
      <c r="E1034" s="2" t="s">
        <v>626</v>
      </c>
    </row>
    <row r="1035" spans="1:5" ht="84" x14ac:dyDescent="0.2">
      <c r="A1035" s="2" t="s">
        <v>107</v>
      </c>
      <c r="B1035" s="2" t="str">
        <f>HYPERLINK("https://www.citizentribune.com/entertainment/national/movie-review-food-inc-2-revisits-food-system-sees-reason-for-frustration-and-a-little/article_3007a6ea-a12e-50b8-8849-3b1ee45a8681.html")</f>
        <v>https://www.citizentribune.com/entertainment/national/movie-review-food-inc-2-revisits-food-system-sees-reason-for-frustration-and-a-little/article_3007a6ea-a12e-50b8-8849-3b1ee45a8681.html</v>
      </c>
      <c r="C1035" s="2" t="s">
        <v>2133</v>
      </c>
      <c r="D1035" s="3">
        <v>45393</v>
      </c>
      <c r="E1035" s="2" t="s">
        <v>108</v>
      </c>
    </row>
    <row r="1036" spans="1:5" ht="70" x14ac:dyDescent="0.2">
      <c r="A1036" s="2" t="s">
        <v>107</v>
      </c>
      <c r="B1036" s="2" t="str">
        <f>HYPERLINK("https://www.smdailyjournal.com/lifestyle/movie-review-food-inc-2-revisits-food-system-sees-reason-for-frustration-and-a-little/article_b0c794a9-aa12-5867-a462-e134eccf6433.html")</f>
        <v>https://www.smdailyjournal.com/lifestyle/movie-review-food-inc-2-revisits-food-system-sees-reason-for-frustration-and-a-little/article_b0c794a9-aa12-5867-a462-e134eccf6433.html</v>
      </c>
      <c r="C1036" s="2" t="s">
        <v>2202</v>
      </c>
      <c r="D1036" s="3">
        <v>45393</v>
      </c>
      <c r="E1036" s="2" t="s">
        <v>108</v>
      </c>
    </row>
    <row r="1037" spans="1:5" ht="84" x14ac:dyDescent="0.2">
      <c r="A1037" s="2" t="s">
        <v>621</v>
      </c>
      <c r="B1037" s="2" t="str">
        <f>HYPERLINK("https://www.dailyitem.com/wire/entertainment/movie-review-food-inc-2-revisits-food-system-sees-reason-for-frustration-and-a-little/article_c258952a-5f00-57a8-9d1a-86ade3ca915f.html")</f>
        <v>https://www.dailyitem.com/wire/entertainment/movie-review-food-inc-2-revisits-food-system-sees-reason-for-frustration-and-a-little/article_c258952a-5f00-57a8-9d1a-86ade3ca915f.html</v>
      </c>
      <c r="C1037" s="2" t="s">
        <v>2128</v>
      </c>
      <c r="D1037" s="3">
        <v>45393</v>
      </c>
      <c r="E1037" s="2" t="s">
        <v>108</v>
      </c>
    </row>
    <row r="1038" spans="1:5" ht="70" x14ac:dyDescent="0.2">
      <c r="A1038" s="2" t="s">
        <v>107</v>
      </c>
      <c r="B1038" s="2" t="str">
        <f>HYPERLINK("https://kdhnews.com/living/ae/movie-review-food-inc-2-revisits-food-system-sees-reason-for-frustration-and-a-little/article_9a4fd049-ceff-5ea9-9717-1b0350697763.html")</f>
        <v>https://kdhnews.com/living/ae/movie-review-food-inc-2-revisits-food-system-sees-reason-for-frustration-and-a-little/article_9a4fd049-ceff-5ea9-9717-1b0350697763.html</v>
      </c>
      <c r="C1038" s="2" t="s">
        <v>2102</v>
      </c>
      <c r="D1038" s="3">
        <v>45393</v>
      </c>
      <c r="E1038" s="2" t="s">
        <v>108</v>
      </c>
    </row>
    <row r="1039" spans="1:5" ht="84" x14ac:dyDescent="0.2">
      <c r="A1039" s="2" t="s">
        <v>107</v>
      </c>
      <c r="B1039" s="2" t="str">
        <f>HYPERLINK("https://www.winchesterstar.com/associated_press/entertainment/movie-review-food-inc-2-revisits-food-system-sees-reason-for-frustration-and-a-little/article_53bab8ef-e042-5ab3-a716-54116786913e.html")</f>
        <v>https://www.winchesterstar.com/associated_press/entertainment/movie-review-food-inc-2-revisits-food-system-sees-reason-for-frustration-and-a-little/article_53bab8ef-e042-5ab3-a716-54116786913e.html</v>
      </c>
      <c r="C1039" s="2" t="s">
        <v>2389</v>
      </c>
      <c r="D1039" s="3">
        <v>45393</v>
      </c>
      <c r="E1039" s="2" t="s">
        <v>108</v>
      </c>
    </row>
    <row r="1040" spans="1:5" ht="84" x14ac:dyDescent="0.2">
      <c r="A1040" s="2" t="s">
        <v>621</v>
      </c>
      <c r="B1040" s="2" t="str">
        <f>HYPERLINK("https://www.stcatharinesstandard.ca/entertainment/movie-review-food-inc-2-revisits-food-system-sees-reason-for-frustration-and-a-little/article_50bd67e8-9408-5349-8157-216ccd57993c.html")</f>
        <v>https://www.stcatharinesstandard.ca/entertainment/movie-review-food-inc-2-revisits-food-system-sees-reason-for-frustration-and-a-little/article_50bd67e8-9408-5349-8157-216ccd57993c.html</v>
      </c>
      <c r="C1040" s="2" t="s">
        <v>2398</v>
      </c>
      <c r="D1040" s="3">
        <v>45393</v>
      </c>
      <c r="E1040" s="2" t="s">
        <v>626</v>
      </c>
    </row>
    <row r="1041" spans="1:5" ht="84" x14ac:dyDescent="0.2">
      <c r="A1041" s="2" t="s">
        <v>107</v>
      </c>
      <c r="B1041" s="2" t="str">
        <f>HYPERLINK("https://www.thestar.com/entertainment/movies/movie-review-food-inc-2-revisits-food-system-sees-reason-for-frustration-and-a-little/article_3ae88a4e-607b-5f10-8eab-3ccf97993e41.html")</f>
        <v>https://www.thestar.com/entertainment/movies/movie-review-food-inc-2-revisits-food-system-sees-reason-for-frustration-and-a-little/article_3ae88a4e-607b-5f10-8eab-3ccf97993e41.html</v>
      </c>
      <c r="C1041" s="2" t="s">
        <v>3359</v>
      </c>
      <c r="D1041" s="3">
        <v>45393</v>
      </c>
      <c r="E1041" s="2" t="s">
        <v>626</v>
      </c>
    </row>
    <row r="1042" spans="1:5" ht="84" x14ac:dyDescent="0.2">
      <c r="A1042" s="2" t="s">
        <v>3480</v>
      </c>
      <c r="B1042" s="2" t="str">
        <f>HYPERLINK("https://mitpressbookstore.mit.edu/book/9781635576993")</f>
        <v>https://mitpressbookstore.mit.edu/book/9781635576993</v>
      </c>
      <c r="C1042" s="2" t="s">
        <v>3481</v>
      </c>
      <c r="D1042" s="3">
        <v>45393</v>
      </c>
      <c r="E1042" s="2" t="s">
        <v>3482</v>
      </c>
    </row>
    <row r="1043" spans="1:5" ht="56" x14ac:dyDescent="0.2">
      <c r="A1043" s="2" t="s">
        <v>563</v>
      </c>
      <c r="B1043" s="2" t="str">
        <f>HYPERLINK("https://smallnews.in/fmcg/2024/04/11/marion-nestle-to-discuss-food-politics-in-wolitzer-seminar/")</f>
        <v>https://smallnews.in/fmcg/2024/04/11/marion-nestle-to-discuss-food-politics-in-wolitzer-seminar/</v>
      </c>
      <c r="C1043" s="2" t="s">
        <v>564</v>
      </c>
      <c r="D1043" s="3">
        <v>45393.080462962957</v>
      </c>
      <c r="E1043" s="2" t="s">
        <v>565</v>
      </c>
    </row>
    <row r="1044" spans="1:5" ht="98" x14ac:dyDescent="0.2">
      <c r="A1044" s="2" t="s">
        <v>3003</v>
      </c>
      <c r="B1044" s="2" t="str">
        <f>HYPERLINK("https://www.startitup.sk/experti-odhalili-zoznam-najnezdravsich-potravin-v-supermarkete-dominuju-zdrave-alternativy/")</f>
        <v>https://www.startitup.sk/experti-odhalili-zoznam-najnezdravsich-potravin-v-supermarkete-dominuju-zdrave-alternativy/</v>
      </c>
      <c r="C1044" s="2" t="s">
        <v>3001</v>
      </c>
      <c r="D1044" s="3">
        <v>45393.153275462973</v>
      </c>
      <c r="E1044" s="2" t="s">
        <v>3004</v>
      </c>
    </row>
    <row r="1045" spans="1:5" ht="56" x14ac:dyDescent="0.2">
      <c r="A1045" s="2" t="s">
        <v>2021</v>
      </c>
      <c r="B1045" s="2" t="str">
        <f>HYPERLINK("https://www.greenqueen.com.hk/food-inc-2-documentary-robert-kenner-michael-pollan-2024/")</f>
        <v>https://www.greenqueen.com.hk/food-inc-2-documentary-robert-kenner-michael-pollan-2024/</v>
      </c>
      <c r="C1045" s="2" t="s">
        <v>2019</v>
      </c>
      <c r="D1045" s="3">
        <v>45393.219189814823</v>
      </c>
      <c r="E1045" s="2" t="s">
        <v>2022</v>
      </c>
    </row>
    <row r="1046" spans="1:5" ht="70" x14ac:dyDescent="0.2">
      <c r="A1046" s="2" t="s">
        <v>621</v>
      </c>
      <c r="B1046" s="2" t="str">
        <f>HYPERLINK("https://lasvegassun.com/news/2024/apr/11/movie-review-food-inc-2-revisits-food-system-sees-/")</f>
        <v>https://lasvegassun.com/news/2024/apr/11/movie-review-food-inc-2-revisits-food-system-sees-/</v>
      </c>
      <c r="C1046" s="2" t="s">
        <v>2601</v>
      </c>
      <c r="D1046" s="3">
        <v>45393.344444444447</v>
      </c>
      <c r="E1046" s="2" t="s">
        <v>108</v>
      </c>
    </row>
    <row r="1047" spans="1:5" ht="70" x14ac:dyDescent="0.2">
      <c r="A1047" s="2" t="s">
        <v>1634</v>
      </c>
      <c r="B1047" s="2" t="str">
        <f>HYPERLINK("https://uk.sports.yahoo.com/news/movie-review-food-inc-2-151615501.html")</f>
        <v>https://uk.sports.yahoo.com/news/movie-review-food-inc-2-151615501.html</v>
      </c>
      <c r="C1047" s="2" t="s">
        <v>2814</v>
      </c>
      <c r="D1047" s="3">
        <v>45393.469618055547</v>
      </c>
      <c r="E1047" s="2" t="s">
        <v>1519</v>
      </c>
    </row>
    <row r="1048" spans="1:5" ht="70" x14ac:dyDescent="0.2">
      <c r="A1048" s="2" t="s">
        <v>1634</v>
      </c>
      <c r="B1048" s="2" t="str">
        <f>HYPERLINK("https://uk.news.yahoo.com/movie-review-food-inc-2-151615501.html")</f>
        <v>https://uk.news.yahoo.com/movie-review-food-inc-2-151615501.html</v>
      </c>
      <c r="C1048" s="2" t="s">
        <v>3264</v>
      </c>
      <c r="D1048" s="3">
        <v>45393.469618055547</v>
      </c>
      <c r="E1048" s="2" t="s">
        <v>1519</v>
      </c>
    </row>
    <row r="1049" spans="1:5" ht="70" x14ac:dyDescent="0.2">
      <c r="A1049" s="2" t="s">
        <v>107</v>
      </c>
      <c r="B1049" s="2" t="str">
        <f>HYPERLINK("https://www.aol.com/news/movie-review-food-inc-2-151615094.html")</f>
        <v>https://www.aol.com/news/movie-review-food-inc-2-151615094.html</v>
      </c>
      <c r="C1049" s="2" t="s">
        <v>3592</v>
      </c>
      <c r="D1049" s="3">
        <v>45393.469618055547</v>
      </c>
      <c r="E1049" s="2" t="s">
        <v>108</v>
      </c>
    </row>
    <row r="1050" spans="1:5" ht="70" x14ac:dyDescent="0.2">
      <c r="A1050" s="2" t="s">
        <v>107</v>
      </c>
      <c r="B1050" s="2" t="str">
        <f>HYPERLINK("https://kdow.biz/news/business/movie-review-food-inc-2-revisits-food-system-sees-reason-for-frustration-and-a-l/88ea36ca17a3864039caf86cf9f4af74")</f>
        <v>https://kdow.biz/news/business/movie-review-food-inc-2-revisits-food-system-sees-reason-for-frustration-and-a-l/88ea36ca17a3864039caf86cf9f4af74</v>
      </c>
      <c r="C1050" s="2" t="s">
        <v>728</v>
      </c>
      <c r="D1050" s="3">
        <v>45393.469629629632</v>
      </c>
      <c r="E1050" s="2" t="s">
        <v>108</v>
      </c>
    </row>
    <row r="1051" spans="1:5" ht="98" x14ac:dyDescent="0.2">
      <c r="A1051" s="2" t="s">
        <v>107</v>
      </c>
      <c r="B1051" s="2" t="str">
        <f>HYPERLINK("https://www.ncadvertiser.com/entertainment/article/movie-review-food-inc-2-revisits-food-19397593.php")</f>
        <v>https://www.ncadvertiser.com/entertainment/article/movie-review-food-inc-2-revisits-food-19397593.php</v>
      </c>
      <c r="C1051" s="2" t="s">
        <v>1332</v>
      </c>
      <c r="D1051" s="3">
        <v>45393.469629629632</v>
      </c>
      <c r="E1051" s="2" t="s">
        <v>1333</v>
      </c>
    </row>
    <row r="1052" spans="1:5" ht="98" x14ac:dyDescent="0.2">
      <c r="A1052" s="2" t="s">
        <v>107</v>
      </c>
      <c r="B1052" s="2" t="str">
        <f>HYPERLINK("https://www.sheltonherald.com/entertainment/article/movie-review-food-inc-2-revisits-food-19397593.php")</f>
        <v>https://www.sheltonherald.com/entertainment/article/movie-review-food-inc-2-revisits-food-19397593.php</v>
      </c>
      <c r="C1052" s="2" t="s">
        <v>1415</v>
      </c>
      <c r="D1052" s="3">
        <v>45393.469629629632</v>
      </c>
      <c r="E1052" s="2" t="s">
        <v>1333</v>
      </c>
    </row>
    <row r="1053" spans="1:5" ht="98" x14ac:dyDescent="0.2">
      <c r="A1053" s="2" t="s">
        <v>107</v>
      </c>
      <c r="B1053" s="2" t="str">
        <f>HYPERLINK("https://www.darientimes.com/entertainment/article/movie-review-food-inc-2-revisits-food-19397593.php")</f>
        <v>https://www.darientimes.com/entertainment/article/movie-review-food-inc-2-revisits-food-19397593.php</v>
      </c>
      <c r="C1053" s="2" t="s">
        <v>1463</v>
      </c>
      <c r="D1053" s="3">
        <v>45393.469629629632</v>
      </c>
      <c r="E1053" s="2" t="s">
        <v>1333</v>
      </c>
    </row>
    <row r="1054" spans="1:5" ht="98" x14ac:dyDescent="0.2">
      <c r="A1054" s="2" t="s">
        <v>107</v>
      </c>
      <c r="B1054" s="2" t="str">
        <f>HYPERLINK("https://www.yourconroenews.com/entertainment/article/movie-review-food-inc-2-revisits-food-19397593.php")</f>
        <v>https://www.yourconroenews.com/entertainment/article/movie-review-food-inc-2-revisits-food-19397593.php</v>
      </c>
      <c r="C1054" s="2" t="s">
        <v>1702</v>
      </c>
      <c r="D1054" s="3">
        <v>45393.469629629632</v>
      </c>
      <c r="E1054" s="2" t="s">
        <v>1333</v>
      </c>
    </row>
    <row r="1055" spans="1:5" ht="98" x14ac:dyDescent="0.2">
      <c r="A1055" s="2" t="s">
        <v>107</v>
      </c>
      <c r="B1055" s="2" t="str">
        <f>HYPERLINK("https://www.bigrapidsnews.com/entertainment/article/movie-review-food-inc-2-revisits-food-19397593.php")</f>
        <v>https://www.bigrapidsnews.com/entertainment/article/movie-review-food-inc-2-revisits-food-19397593.php</v>
      </c>
      <c r="C1055" s="2" t="s">
        <v>1771</v>
      </c>
      <c r="D1055" s="3">
        <v>45393.469629629632</v>
      </c>
      <c r="E1055" s="2" t="s">
        <v>1333</v>
      </c>
    </row>
    <row r="1056" spans="1:5" ht="98" x14ac:dyDescent="0.2">
      <c r="A1056" s="2" t="s">
        <v>107</v>
      </c>
      <c r="B1056" s="2" t="str">
        <f>HYPERLINK("https://www.manisteenews.com/entertainment/article/movie-review-food-inc-2-revisits-food-19397593.php")</f>
        <v>https://www.manisteenews.com/entertainment/article/movie-review-food-inc-2-revisits-food-19397593.php</v>
      </c>
      <c r="C1056" s="2" t="s">
        <v>1776</v>
      </c>
      <c r="D1056" s="3">
        <v>45393.469629629632</v>
      </c>
      <c r="E1056" s="2" t="s">
        <v>1333</v>
      </c>
    </row>
    <row r="1057" spans="1:5" ht="98" x14ac:dyDescent="0.2">
      <c r="A1057" s="2" t="s">
        <v>107</v>
      </c>
      <c r="B1057" s="2" t="str">
        <f>HYPERLINK("https://www.seattlepi.com/entertainment/article/movie-review-food-inc-2-revisits-food-19397593.php")</f>
        <v>https://www.seattlepi.com/entertainment/article/movie-review-food-inc-2-revisits-food-19397593.php</v>
      </c>
      <c r="C1057" s="2" t="s">
        <v>2324</v>
      </c>
      <c r="D1057" s="3">
        <v>45393.469629629632</v>
      </c>
      <c r="E1057" s="2" t="s">
        <v>1333</v>
      </c>
    </row>
    <row r="1058" spans="1:5" ht="70" x14ac:dyDescent="0.2">
      <c r="A1058" s="2" t="s">
        <v>107</v>
      </c>
      <c r="B1058" s="2" t="str">
        <f>HYPERLINK("https://www.ctinsider.com/entertainment/article/movie-review-food-inc-2-revisits-food-19397593.php")</f>
        <v>https://www.ctinsider.com/entertainment/article/movie-review-food-inc-2-revisits-food-19397593.php</v>
      </c>
      <c r="C1058" s="2" t="s">
        <v>2986</v>
      </c>
      <c r="D1058" s="3">
        <v>45393.469629629632</v>
      </c>
      <c r="E1058" s="2" t="s">
        <v>108</v>
      </c>
    </row>
    <row r="1059" spans="1:5" ht="70" x14ac:dyDescent="0.2">
      <c r="A1059" s="2" t="s">
        <v>107</v>
      </c>
      <c r="B1059" s="2" t="str">
        <f>HYPERLINK("https://www.houstonchronicle.com/entertainment/article/movie-review-food-inc-2-revisits-food-19397593.php")</f>
        <v>https://www.houstonchronicle.com/entertainment/article/movie-review-food-inc-2-revisits-food-19397593.php</v>
      </c>
      <c r="C1059" s="2" t="s">
        <v>3145</v>
      </c>
      <c r="D1059" s="3">
        <v>45393.469629629632</v>
      </c>
      <c r="E1059" s="2" t="s">
        <v>108</v>
      </c>
    </row>
    <row r="1060" spans="1:5" ht="70" x14ac:dyDescent="0.2">
      <c r="A1060" s="2" t="s">
        <v>107</v>
      </c>
      <c r="B1060" s="2" t="str">
        <f>HYPERLINK("https://www.airdriecityview.com/lifestyle/movie-review-food-inc-2-revisits-food-system-sees-reason-for-frustration-and-a-little-hope-8585410")</f>
        <v>https://www.airdriecityview.com/lifestyle/movie-review-food-inc-2-revisits-food-system-sees-reason-for-frustration-and-a-little-hope-8585410</v>
      </c>
      <c r="C1060" s="2" t="s">
        <v>92</v>
      </c>
      <c r="D1060" s="3">
        <v>45393.470254629632</v>
      </c>
      <c r="E1060" s="2" t="s">
        <v>108</v>
      </c>
    </row>
    <row r="1061" spans="1:5" ht="70" x14ac:dyDescent="0.2">
      <c r="A1061" s="2" t="s">
        <v>107</v>
      </c>
      <c r="B1061" s="2" t="str">
        <f>HYPERLINK("https://www.empireadvance.ca/entertainment-news/movie-review-food-inc-2-revisits-food-system-sees-reason-for-frustration-and-a-little-hope-8585415")</f>
        <v>https://www.empireadvance.ca/entertainment-news/movie-review-food-inc-2-revisits-food-system-sees-reason-for-frustration-and-a-little-hope-8585415</v>
      </c>
      <c r="C1061" s="2" t="s">
        <v>622</v>
      </c>
      <c r="D1061" s="3">
        <v>45393.470254629632</v>
      </c>
      <c r="E1061" s="2" t="s">
        <v>108</v>
      </c>
    </row>
    <row r="1062" spans="1:5" ht="70" x14ac:dyDescent="0.2">
      <c r="A1062" s="2" t="s">
        <v>107</v>
      </c>
      <c r="B1062" s="2" t="str">
        <f>HYPERLINK("https://www.empireadvance.ca/food/movie-review-food-inc-2-revisits-food-system-sees-reason-for-frustration-and-a-little-hope-8585419")</f>
        <v>https://www.empireadvance.ca/food/movie-review-food-inc-2-revisits-food-system-sees-reason-for-frustration-and-a-little-hope-8585419</v>
      </c>
      <c r="C1062" s="2" t="s">
        <v>622</v>
      </c>
      <c r="D1062" s="3">
        <v>45393.470254629632</v>
      </c>
      <c r="E1062" s="2" t="s">
        <v>108</v>
      </c>
    </row>
    <row r="1063" spans="1:5" ht="70" x14ac:dyDescent="0.2">
      <c r="A1063" s="2" t="s">
        <v>107</v>
      </c>
      <c r="B1063" s="2" t="str">
        <f>HYPERLINK("https://www.thereminder.ca/the-mix/movie-review-food-inc-2-revisits-food-system-sees-reason-for-frustration-and-a-little-hope-8585503")</f>
        <v>https://www.thereminder.ca/the-mix/movie-review-food-inc-2-revisits-food-system-sees-reason-for-frustration-and-a-little-hope-8585503</v>
      </c>
      <c r="C1063" s="2" t="s">
        <v>947</v>
      </c>
      <c r="D1063" s="3">
        <v>45393.470254629632</v>
      </c>
      <c r="E1063" s="2" t="s">
        <v>108</v>
      </c>
    </row>
    <row r="1064" spans="1:5" ht="70" x14ac:dyDescent="0.2">
      <c r="A1064" s="2" t="s">
        <v>107</v>
      </c>
      <c r="B1064" s="2" t="str">
        <f>HYPERLINK("https://www.prpeak.com/the-mix/movie-review-food-inc-2-revisits-food-system-sees-reason-for-frustration-and-a-little-hope-8585503")</f>
        <v>https://www.prpeak.com/the-mix/movie-review-food-inc-2-revisits-food-system-sees-reason-for-frustration-and-a-little-hope-8585503</v>
      </c>
      <c r="C1064" s="2" t="s">
        <v>1469</v>
      </c>
      <c r="D1064" s="3">
        <v>45393.470254629632</v>
      </c>
      <c r="E1064" s="2" t="s">
        <v>108</v>
      </c>
    </row>
    <row r="1065" spans="1:5" ht="70" x14ac:dyDescent="0.2">
      <c r="A1065" s="2" t="s">
        <v>107</v>
      </c>
      <c r="B1065" s="2" t="str">
        <f>HYPERLINK("https://www.bowenislandundercurrent.com/entertainment-news/movie-review-food-inc-2-revisits-food-system-sees-reason-for-frustration-and-a-little-hope-8585415")</f>
        <v>https://www.bowenislandundercurrent.com/entertainment-news/movie-review-food-inc-2-revisits-food-system-sees-reason-for-frustration-and-a-little-hope-8585415</v>
      </c>
      <c r="C1065" s="2" t="s">
        <v>1458</v>
      </c>
      <c r="D1065" s="3">
        <v>45393.470254629632</v>
      </c>
      <c r="E1065" s="2" t="s">
        <v>108</v>
      </c>
    </row>
    <row r="1066" spans="1:5" ht="70" x14ac:dyDescent="0.2">
      <c r="A1066" s="2" t="s">
        <v>107</v>
      </c>
      <c r="B1066" s="2" t="str">
        <f>HYPERLINK("https://www.fitzhugh.ca/national-lifestyle/movie-review-food-inc-2-revisits-food-system-sees-reason-for-frustration-and-a-little-hope-8585410")</f>
        <v>https://www.fitzhugh.ca/national-lifestyle/movie-review-food-inc-2-revisits-food-system-sees-reason-for-frustration-and-a-little-hope-8585410</v>
      </c>
      <c r="C1066" s="2" t="s">
        <v>1537</v>
      </c>
      <c r="D1066" s="3">
        <v>45393.470254629632</v>
      </c>
      <c r="E1066" s="2" t="s">
        <v>108</v>
      </c>
    </row>
    <row r="1067" spans="1:5" ht="70" x14ac:dyDescent="0.2">
      <c r="A1067" s="2" t="s">
        <v>107</v>
      </c>
      <c r="B1067" s="2" t="str">
        <f>HYPERLINK("https://www.fitzhugh.ca/food/movie-review-food-inc-2-revisits-food-system-sees-reason-for-frustration-and-a-little-hope-8585419")</f>
        <v>https://www.fitzhugh.ca/food/movie-review-food-inc-2-revisits-food-system-sees-reason-for-frustration-and-a-little-hope-8585419</v>
      </c>
      <c r="C1067" s="2" t="s">
        <v>1537</v>
      </c>
      <c r="D1067" s="3">
        <v>45393.470254629632</v>
      </c>
      <c r="E1067" s="2" t="s">
        <v>108</v>
      </c>
    </row>
    <row r="1068" spans="1:5" ht="70" x14ac:dyDescent="0.2">
      <c r="A1068" s="2" t="s">
        <v>107</v>
      </c>
      <c r="B1068" s="2" t="str">
        <f>HYPERLINK("https://www.townandcountrytoday.com/national-entertainment/movie-review-food-inc-2-revisits-food-system-sees-reason-for-frustration-and-a-little-hope-8585415")</f>
        <v>https://www.townandcountrytoday.com/national-entertainment/movie-review-food-inc-2-revisits-food-system-sees-reason-for-frustration-and-a-little-hope-8585415</v>
      </c>
      <c r="C1068" s="2" t="s">
        <v>1494</v>
      </c>
      <c r="D1068" s="3">
        <v>45393.470254629632</v>
      </c>
      <c r="E1068" s="2" t="s">
        <v>108</v>
      </c>
    </row>
    <row r="1069" spans="1:5" ht="70" x14ac:dyDescent="0.2">
      <c r="A1069" s="2" t="s">
        <v>107</v>
      </c>
      <c r="B1069" s="2" t="str">
        <f>HYPERLINK("https://www.townandcountrytoday.com/food/movie-review-food-inc-2-revisits-food-system-sees-reason-for-frustration-and-a-little-hope-8585419")</f>
        <v>https://www.townandcountrytoday.com/food/movie-review-food-inc-2-revisits-food-system-sees-reason-for-frustration-and-a-little-hope-8585419</v>
      </c>
      <c r="C1069" s="2" t="s">
        <v>1494</v>
      </c>
      <c r="D1069" s="3">
        <v>45393.470254629632</v>
      </c>
      <c r="E1069" s="2" t="s">
        <v>108</v>
      </c>
    </row>
    <row r="1070" spans="1:5" ht="70" x14ac:dyDescent="0.2">
      <c r="A1070" s="2" t="s">
        <v>107</v>
      </c>
      <c r="B1070" s="2" t="str">
        <f>HYPERLINK("https://www.townandcountrytoday.com/lifestyle/movie-review-food-inc-2-revisits-food-system-sees-reason-for-frustration-and-a-little-hope-8585410")</f>
        <v>https://www.townandcountrytoday.com/lifestyle/movie-review-food-inc-2-revisits-food-system-sees-reason-for-frustration-and-a-little-hope-8585410</v>
      </c>
      <c r="C1070" s="2" t="s">
        <v>1494</v>
      </c>
      <c r="D1070" s="3">
        <v>45393.470254629632</v>
      </c>
      <c r="E1070" s="2" t="s">
        <v>108</v>
      </c>
    </row>
    <row r="1071" spans="1:5" ht="70" x14ac:dyDescent="0.2">
      <c r="A1071" s="2" t="s">
        <v>107</v>
      </c>
      <c r="B1071" s="2" t="str">
        <f>HYPERLINK("https://www.lakelandtoday.ca/national-entertainment/movie-review-food-inc-2-revisits-food-system-sees-reason-for-frustration-and-a-little-hope-8585415")</f>
        <v>https://www.lakelandtoday.ca/national-entertainment/movie-review-food-inc-2-revisits-food-system-sees-reason-for-frustration-and-a-little-hope-8585415</v>
      </c>
      <c r="C1071" s="2" t="s">
        <v>1692</v>
      </c>
      <c r="D1071" s="3">
        <v>45393.470254629632</v>
      </c>
      <c r="E1071" s="2" t="s">
        <v>108</v>
      </c>
    </row>
    <row r="1072" spans="1:5" ht="70" x14ac:dyDescent="0.2">
      <c r="A1072" s="2" t="s">
        <v>107</v>
      </c>
      <c r="B1072" s="2" t="str">
        <f>HYPERLINK("https://www.lakelandtoday.ca/food/movie-review-food-inc-2-revisits-food-system-sees-reason-for-frustration-and-a-little-hope-8585419")</f>
        <v>https://www.lakelandtoday.ca/food/movie-review-food-inc-2-revisits-food-system-sees-reason-for-frustration-and-a-little-hope-8585419</v>
      </c>
      <c r="C1072" s="2" t="s">
        <v>1692</v>
      </c>
      <c r="D1072" s="3">
        <v>45393.470254629632</v>
      </c>
      <c r="E1072" s="2" t="s">
        <v>108</v>
      </c>
    </row>
    <row r="1073" spans="1:5" ht="70" x14ac:dyDescent="0.2">
      <c r="A1073" s="2" t="s">
        <v>107</v>
      </c>
      <c r="B1073" s="2" t="str">
        <f>HYPERLINK("https://www.lakelandtoday.ca/lifestyle/movie-review-food-inc-2-revisits-food-system-sees-reason-for-frustration-and-a-little-hope-8585410")</f>
        <v>https://www.lakelandtoday.ca/lifestyle/movie-review-food-inc-2-revisits-food-system-sees-reason-for-frustration-and-a-little-hope-8585410</v>
      </c>
      <c r="C1073" s="2" t="s">
        <v>1692</v>
      </c>
      <c r="D1073" s="3">
        <v>45393.470254629632</v>
      </c>
      <c r="E1073" s="2" t="s">
        <v>108</v>
      </c>
    </row>
    <row r="1074" spans="1:5" ht="70" x14ac:dyDescent="0.2">
      <c r="A1074" s="2" t="s">
        <v>107</v>
      </c>
      <c r="B1074" s="2" t="str">
        <f>HYPERLINK("https://www.westernwheel.ca/lifestyle/movie-review-food-inc-2-revisits-food-system-sees-reason-for-frustration-and-a-little-hope-8585410")</f>
        <v>https://www.westernwheel.ca/lifestyle/movie-review-food-inc-2-revisits-food-system-sees-reason-for-frustration-and-a-little-hope-8585410</v>
      </c>
      <c r="C1074" s="2" t="s">
        <v>2123</v>
      </c>
      <c r="D1074" s="3">
        <v>45393.470254629632</v>
      </c>
      <c r="E1074" s="2" t="s">
        <v>108</v>
      </c>
    </row>
    <row r="1075" spans="1:5" ht="70" x14ac:dyDescent="0.2">
      <c r="A1075" s="2" t="s">
        <v>107</v>
      </c>
      <c r="B1075" s="2" t="str">
        <f>HYPERLINK("https://www.westernwheel.ca/national-entertainment/movie-review-food-inc-2-revisits-food-system-sees-reason-for-frustration-and-a-little-hope-8585415")</f>
        <v>https://www.westernwheel.ca/national-entertainment/movie-review-food-inc-2-revisits-food-system-sees-reason-for-frustration-and-a-little-hope-8585415</v>
      </c>
      <c r="C1075" s="2" t="s">
        <v>2123</v>
      </c>
      <c r="D1075" s="3">
        <v>45393.470254629632</v>
      </c>
      <c r="E1075" s="2" t="s">
        <v>108</v>
      </c>
    </row>
    <row r="1076" spans="1:5" ht="70" x14ac:dyDescent="0.2">
      <c r="A1076" s="2" t="s">
        <v>107</v>
      </c>
      <c r="B1076" s="2" t="str">
        <f>HYPERLINK("https://www.westernwheel.ca/food/movie-review-food-inc-2-revisits-food-system-sees-reason-for-frustration-and-a-little-hope-8585419")</f>
        <v>https://www.westernwheel.ca/food/movie-review-food-inc-2-revisits-food-system-sees-reason-for-frustration-and-a-little-hope-8585419</v>
      </c>
      <c r="C1076" s="2" t="s">
        <v>2123</v>
      </c>
      <c r="D1076" s="3">
        <v>45393.470254629632</v>
      </c>
      <c r="E1076" s="2" t="s">
        <v>108</v>
      </c>
    </row>
    <row r="1077" spans="1:5" ht="70" x14ac:dyDescent="0.2">
      <c r="A1077" s="2" t="s">
        <v>107</v>
      </c>
      <c r="B1077" s="2" t="str">
        <f>HYPERLINK("https://www.moosejawtoday.com/food/movie-review-food-inc-2-revisits-food-system-sees-reason-for-frustration-and-a-little-hope-8585419")</f>
        <v>https://www.moosejawtoday.com/food/movie-review-food-inc-2-revisits-food-system-sees-reason-for-frustration-and-a-little-hope-8585419</v>
      </c>
      <c r="C1077" s="2" t="s">
        <v>2203</v>
      </c>
      <c r="D1077" s="3">
        <v>45393.470254629632</v>
      </c>
      <c r="E1077" s="2" t="s">
        <v>108</v>
      </c>
    </row>
    <row r="1078" spans="1:5" ht="70" x14ac:dyDescent="0.2">
      <c r="A1078" s="2" t="s">
        <v>107</v>
      </c>
      <c r="B1078" s="2" t="str">
        <f>HYPERLINK("https://www.moosejawtoday.com/entertainment-news/movie-review-food-inc-2-revisits-food-system-sees-reason-for-frustration-and-a-little-hope-8585415")</f>
        <v>https://www.moosejawtoday.com/entertainment-news/movie-review-food-inc-2-revisits-food-system-sees-reason-for-frustration-and-a-little-hope-8585415</v>
      </c>
      <c r="C1078" s="2" t="s">
        <v>2203</v>
      </c>
      <c r="D1078" s="3">
        <v>45393.470254629632</v>
      </c>
      <c r="E1078" s="2" t="s">
        <v>108</v>
      </c>
    </row>
    <row r="1079" spans="1:5" ht="70" x14ac:dyDescent="0.2">
      <c r="A1079" s="2" t="s">
        <v>107</v>
      </c>
      <c r="B1079" s="2" t="str">
        <f>HYPERLINK("https://www.cochraneeagle.ca/national-entertainment/movie-review-food-inc-2-revisits-food-system-sees-reason-for-frustration-and-a-little-hope-8585415")</f>
        <v>https://www.cochraneeagle.ca/national-entertainment/movie-review-food-inc-2-revisits-food-system-sees-reason-for-frustration-and-a-little-hope-8585415</v>
      </c>
      <c r="C1079" s="2" t="s">
        <v>3895</v>
      </c>
      <c r="D1079" s="3">
        <v>45393.470254629632</v>
      </c>
      <c r="E1079" s="2" t="s">
        <v>108</v>
      </c>
    </row>
    <row r="1080" spans="1:5" ht="70" x14ac:dyDescent="0.2">
      <c r="A1080" s="2" t="s">
        <v>107</v>
      </c>
      <c r="B1080" s="2" t="str">
        <f>HYPERLINK("https://www.cochraneeagle.ca/food/movie-review-food-inc-2-revisits-food-system-sees-reason-for-frustration-and-a-little-hope-8585419")</f>
        <v>https://www.cochraneeagle.ca/food/movie-review-food-inc-2-revisits-food-system-sees-reason-for-frustration-and-a-little-hope-8585419</v>
      </c>
      <c r="C1080" s="2" t="s">
        <v>3895</v>
      </c>
      <c r="D1080" s="3">
        <v>45393.470254629632</v>
      </c>
      <c r="E1080" s="2" t="s">
        <v>108</v>
      </c>
    </row>
    <row r="1081" spans="1:5" ht="70" x14ac:dyDescent="0.2">
      <c r="A1081" s="2" t="s">
        <v>107</v>
      </c>
      <c r="B1081" s="2" t="str">
        <f>HYPERLINK("https://www.cochraneeagle.ca/lifestyle/movie-review-food-inc-2-revisits-food-system-sees-reason-for-frustration-and-a-little-hope-8585410")</f>
        <v>https://www.cochraneeagle.ca/lifestyle/movie-review-food-inc-2-revisits-food-system-sees-reason-for-frustration-and-a-little-hope-8585410</v>
      </c>
      <c r="C1081" s="2" t="s">
        <v>3895</v>
      </c>
      <c r="D1081" s="3">
        <v>45393.470254629632</v>
      </c>
      <c r="E1081" s="2" t="s">
        <v>108</v>
      </c>
    </row>
    <row r="1082" spans="1:5" ht="70" x14ac:dyDescent="0.2">
      <c r="A1082" s="2" t="s">
        <v>107</v>
      </c>
      <c r="B1082" s="2" t="str">
        <f>HYPERLINK("https://infotel.ca/newsitem/ent-film-review-food/cp1818737451")</f>
        <v>https://infotel.ca/newsitem/ent-film-review-food/cp1818737451</v>
      </c>
      <c r="C1082" s="2" t="s">
        <v>2434</v>
      </c>
      <c r="D1082" s="3">
        <v>45393.470277777778</v>
      </c>
      <c r="E1082" s="2" t="s">
        <v>108</v>
      </c>
    </row>
    <row r="1083" spans="1:5" ht="70" x14ac:dyDescent="0.2">
      <c r="A1083" s="2" t="s">
        <v>1634</v>
      </c>
      <c r="B1083" s="2" t="str">
        <f>HYPERLINK("https://hosted.ap.org/journalrecord/article/88ea36ca17a3864039caf86cf9f4af74/movie-review-food-inc-2-revisits-food-system-sees-reason")</f>
        <v>https://hosted.ap.org/journalrecord/article/88ea36ca17a3864039caf86cf9f4af74/movie-review-food-inc-2-revisits-food-system-sees-reason</v>
      </c>
      <c r="C1083" s="2" t="s">
        <v>1694</v>
      </c>
      <c r="D1083" s="3">
        <v>45393.472349537027</v>
      </c>
      <c r="E1083" s="2" t="s">
        <v>1519</v>
      </c>
    </row>
    <row r="1084" spans="1:5" ht="70" x14ac:dyDescent="0.2">
      <c r="A1084" s="2" t="s">
        <v>107</v>
      </c>
      <c r="B1084" s="2" t="str">
        <f>HYPERLINK("https://www.yahoo.com/entertainment/movie-review-food-inc-2-151615501.html")</f>
        <v>https://www.yahoo.com/entertainment/movie-review-food-inc-2-151615501.html</v>
      </c>
      <c r="C1084" s="2" t="s">
        <v>3734</v>
      </c>
      <c r="D1084" s="3">
        <v>45393.472395833327</v>
      </c>
      <c r="E1084" s="2" t="s">
        <v>108</v>
      </c>
    </row>
    <row r="1085" spans="1:5" ht="84" x14ac:dyDescent="0.2">
      <c r="A1085" s="2" t="s">
        <v>107</v>
      </c>
      <c r="B1085" s="2" t="str">
        <f>HYPERLINK("https://www.winnipegfreepress.com/arts-and-life/entertainment/celebrities/2024/04/11/movie-review-food-inc-2-revisits-food-system-sees-reason-for-frustration-and-a-little-hope")</f>
        <v>https://www.winnipegfreepress.com/arts-and-life/entertainment/celebrities/2024/04/11/movie-review-food-inc-2-revisits-food-system-sees-reason-for-frustration-and-a-little-hope</v>
      </c>
      <c r="C1085" s="2" t="s">
        <v>2832</v>
      </c>
      <c r="D1085" s="3">
        <v>45393.473252314812</v>
      </c>
      <c r="E1085" s="2" t="s">
        <v>626</v>
      </c>
    </row>
    <row r="1086" spans="1:5" ht="70" x14ac:dyDescent="0.2">
      <c r="A1086" s="2" t="s">
        <v>3028</v>
      </c>
      <c r="B1086" s="2" t="str">
        <f>HYPERLINK("https://www.startribune.com/movie-review-food-inc-2-revisits-food-system-sees-reason-for-frustration-and-a-little-hope/600358080/")</f>
        <v>https://www.startribune.com/movie-review-food-inc-2-revisits-food-system-sees-reason-for-frustration-and-a-little-hope/600358080/</v>
      </c>
      <c r="C1086" s="2" t="s">
        <v>3177</v>
      </c>
      <c r="D1086" s="3">
        <v>45393.473483796297</v>
      </c>
      <c r="E1086" s="2" t="s">
        <v>3288</v>
      </c>
    </row>
    <row r="1087" spans="1:5" ht="70" x14ac:dyDescent="0.2">
      <c r="A1087" s="2" t="s">
        <v>107</v>
      </c>
      <c r="B1087" s="2" t="str">
        <f>HYPERLINK("https://www.brandonsun.com/entertainment/2024/04/11/movie-review-food-inc-2-revisits-food-system-sees-reason-for-frustration-and-a-little-hope")</f>
        <v>https://www.brandonsun.com/entertainment/2024/04/11/movie-review-food-inc-2-revisits-food-system-sees-reason-for-frustration-and-a-little-hope</v>
      </c>
      <c r="C1087" s="2" t="s">
        <v>1746</v>
      </c>
      <c r="D1087" s="3">
        <v>45393.473865740743</v>
      </c>
      <c r="E1087" s="2" t="s">
        <v>626</v>
      </c>
    </row>
    <row r="1088" spans="1:5" ht="70" x14ac:dyDescent="0.2">
      <c r="A1088" s="2" t="s">
        <v>107</v>
      </c>
      <c r="B1088" s="2" t="str">
        <f>HYPERLINK("https://apnews.com/article/movie-review-food-inc-88ea36ca17a3864039caf86cf9f4af74")</f>
        <v>https://apnews.com/article/movie-review-food-inc-88ea36ca17a3864039caf86cf9f4af74</v>
      </c>
      <c r="C1088" s="2" t="s">
        <v>3644</v>
      </c>
      <c r="D1088" s="3">
        <v>45393.474039351851</v>
      </c>
      <c r="E1088" s="2" t="s">
        <v>626</v>
      </c>
    </row>
    <row r="1089" spans="1:5" ht="70" x14ac:dyDescent="0.2">
      <c r="A1089" s="2" t="s">
        <v>107</v>
      </c>
      <c r="B1089" s="2" t="str">
        <f>HYPERLINK("https://ca.sports.yahoo.com/news/movie-review-food-inc-2-151615501.html")</f>
        <v>https://ca.sports.yahoo.com/news/movie-review-food-inc-2-151615501.html</v>
      </c>
      <c r="C1089" s="2" t="s">
        <v>2771</v>
      </c>
      <c r="D1089" s="3">
        <v>45393.474340277768</v>
      </c>
      <c r="E1089" s="2" t="s">
        <v>108</v>
      </c>
    </row>
    <row r="1090" spans="1:5" ht="70" x14ac:dyDescent="0.2">
      <c r="A1090" s="2" t="s">
        <v>107</v>
      </c>
      <c r="B1090" s="2" t="str">
        <f>HYPERLINK("https://www.sandiegouniontribune.com/news/nation-world/story/2024-04-11/movie-review-food-inc-2-revisits-food-system-sees-reason-for-frustration-and-a-little-hope")</f>
        <v>https://www.sandiegouniontribune.com/news/nation-world/story/2024-04-11/movie-review-food-inc-2-revisits-food-system-sees-reason-for-frustration-and-a-little-hope</v>
      </c>
      <c r="C1090" s="2" t="s">
        <v>3124</v>
      </c>
      <c r="D1090" s="3">
        <v>45393.474849537037</v>
      </c>
      <c r="E1090" s="2" t="s">
        <v>626</v>
      </c>
    </row>
    <row r="1091" spans="1:5" ht="70" x14ac:dyDescent="0.2">
      <c r="A1091" s="2" t="s">
        <v>107</v>
      </c>
      <c r="B1091" s="2" t="str">
        <f>HYPERLINK("https://www.richmond-news.com/food/movie-review-food-inc-2-revisits-food-system-sees-reason-for-frustration-and-a-little-hope-8585419")</f>
        <v>https://www.richmond-news.com/food/movie-review-food-inc-2-revisits-food-system-sees-reason-for-frustration-and-a-little-hope-8585419</v>
      </c>
      <c r="C1091" s="2" t="s">
        <v>2513</v>
      </c>
      <c r="D1091" s="3">
        <v>45393.475115740737</v>
      </c>
      <c r="E1091" s="2" t="s">
        <v>108</v>
      </c>
    </row>
    <row r="1092" spans="1:5" ht="70" x14ac:dyDescent="0.2">
      <c r="A1092" s="2" t="s">
        <v>107</v>
      </c>
      <c r="B1092" s="2" t="str">
        <f>HYPERLINK("https://www.richmond-news.com/entertainment-news/movie-review-food-inc-2-revisits-food-system-sees-reason-for-frustration-and-a-little-hope-8585415")</f>
        <v>https://www.richmond-news.com/entertainment-news/movie-review-food-inc-2-revisits-food-system-sees-reason-for-frustration-and-a-little-hope-8585415</v>
      </c>
      <c r="C1092" s="2" t="s">
        <v>2513</v>
      </c>
      <c r="D1092" s="3">
        <v>45393.475115740737</v>
      </c>
      <c r="E1092" s="2" t="s">
        <v>108</v>
      </c>
    </row>
    <row r="1093" spans="1:5" ht="70" x14ac:dyDescent="0.2">
      <c r="A1093" s="2" t="s">
        <v>107</v>
      </c>
      <c r="B1093" s="2" t="str">
        <f>HYPERLINK("https://www.burnabynow.com/entertainment-news/movie-review-food-inc-2-revisits-food-system-sees-reason-for-frustration-and-a-little-hope-8585415")</f>
        <v>https://www.burnabynow.com/entertainment-news/movie-review-food-inc-2-revisits-food-system-sees-reason-for-frustration-and-a-little-hope-8585415</v>
      </c>
      <c r="C1093" s="2" t="s">
        <v>2394</v>
      </c>
      <c r="D1093" s="3">
        <v>45393.475590277783</v>
      </c>
      <c r="E1093" s="2" t="s">
        <v>108</v>
      </c>
    </row>
    <row r="1094" spans="1:5" ht="70" x14ac:dyDescent="0.2">
      <c r="A1094" s="2" t="s">
        <v>107</v>
      </c>
      <c r="B1094" s="2" t="str">
        <f>HYPERLINK("https://www.burnabynow.com/food/movie-review-food-inc-2-revisits-food-system-sees-reason-for-frustration-and-a-little-hope-8585419")</f>
        <v>https://www.burnabynow.com/food/movie-review-food-inc-2-revisits-food-system-sees-reason-for-frustration-and-a-little-hope-8585419</v>
      </c>
      <c r="C1094" s="2" t="s">
        <v>2394</v>
      </c>
      <c r="D1094" s="3">
        <v>45393.475590277783</v>
      </c>
      <c r="E1094" s="2" t="s">
        <v>108</v>
      </c>
    </row>
    <row r="1095" spans="1:5" ht="70" x14ac:dyDescent="0.2">
      <c r="A1095" s="2" t="s">
        <v>107</v>
      </c>
      <c r="B1095" s="2" t="str">
        <f>HYPERLINK("https://www.nsnews.com/food/movie-review-food-inc-2-revisits-food-system-sees-reason-for-frustration-and-a-little-hope-8585419")</f>
        <v>https://www.nsnews.com/food/movie-review-food-inc-2-revisits-food-system-sees-reason-for-frustration-and-a-little-hope-8585419</v>
      </c>
      <c r="C1095" s="2" t="s">
        <v>2400</v>
      </c>
      <c r="D1095" s="3">
        <v>45393.475601851853</v>
      </c>
      <c r="E1095" s="2" t="s">
        <v>108</v>
      </c>
    </row>
    <row r="1096" spans="1:5" ht="70" x14ac:dyDescent="0.2">
      <c r="A1096" s="2" t="s">
        <v>107</v>
      </c>
      <c r="B1096" s="2" t="str">
        <f>HYPERLINK("https://www.nsnews.com/entertainment-news/movie-review-food-inc-2-revisits-food-system-sees-reason-for-frustration-and-a-little-hope-8585415")</f>
        <v>https://www.nsnews.com/entertainment-news/movie-review-food-inc-2-revisits-food-system-sees-reason-for-frustration-and-a-little-hope-8585415</v>
      </c>
      <c r="C1096" s="2" t="s">
        <v>2400</v>
      </c>
      <c r="D1096" s="3">
        <v>45393.475613425922</v>
      </c>
      <c r="E1096" s="2" t="s">
        <v>108</v>
      </c>
    </row>
    <row r="1097" spans="1:5" ht="70" x14ac:dyDescent="0.2">
      <c r="A1097" s="2" t="s">
        <v>107</v>
      </c>
      <c r="B1097" s="2" t="str">
        <f>HYPERLINK("https://www.squamishchief.com/entertainment-news/movie-review-food-inc-2-revisits-food-system-sees-reason-for-frustration-and-a-little-hope-8585415")</f>
        <v>https://www.squamishchief.com/entertainment-news/movie-review-food-inc-2-revisits-food-system-sees-reason-for-frustration-and-a-little-hope-8585415</v>
      </c>
      <c r="C1097" s="2" t="s">
        <v>1993</v>
      </c>
      <c r="D1097" s="3">
        <v>45393.475659722222</v>
      </c>
      <c r="E1097" s="2" t="s">
        <v>108</v>
      </c>
    </row>
    <row r="1098" spans="1:5" ht="70" x14ac:dyDescent="0.2">
      <c r="A1098" s="2" t="s">
        <v>107</v>
      </c>
      <c r="B1098" s="2" t="str">
        <f>HYPERLINK("https://www.squamishchief.com/food/movie-review-food-inc-2-revisits-food-system-sees-reason-for-frustration-and-a-little-hope-8585419")</f>
        <v>https://www.squamishchief.com/food/movie-review-food-inc-2-revisits-food-system-sees-reason-for-frustration-and-a-little-hope-8585419</v>
      </c>
      <c r="C1098" s="2" t="s">
        <v>1993</v>
      </c>
      <c r="D1098" s="3">
        <v>45393.475694444453</v>
      </c>
      <c r="E1098" s="2" t="s">
        <v>108</v>
      </c>
    </row>
    <row r="1099" spans="1:5" ht="70" x14ac:dyDescent="0.2">
      <c r="A1099" s="2" t="s">
        <v>107</v>
      </c>
      <c r="B1099" s="2" t="str">
        <f>HYPERLINK("https://www.vancouverisawesome.com/entertainment-news/movie-review-food-inc-2-revisits-food-system-sees-reason-for-frustration-and-a-little-hope-8585415")</f>
        <v>https://www.vancouverisawesome.com/entertainment-news/movie-review-food-inc-2-revisits-food-system-sees-reason-for-frustration-and-a-little-hope-8585415</v>
      </c>
      <c r="C1099" s="2" t="s">
        <v>2927</v>
      </c>
      <c r="D1099" s="3">
        <v>45393.475856481477</v>
      </c>
      <c r="E1099" s="2" t="s">
        <v>108</v>
      </c>
    </row>
    <row r="1100" spans="1:5" ht="70" x14ac:dyDescent="0.2">
      <c r="A1100" s="2" t="s">
        <v>107</v>
      </c>
      <c r="B1100" s="2" t="str">
        <f>HYPERLINK("https://www.vancouverisawesome.com/food/movie-review-food-inc-2-revisits-food-system-sees-reason-for-frustration-and-a-little-hope-8585419")</f>
        <v>https://www.vancouverisawesome.com/food/movie-review-food-inc-2-revisits-food-system-sees-reason-for-frustration-and-a-little-hope-8585419</v>
      </c>
      <c r="C1100" s="2" t="s">
        <v>2927</v>
      </c>
      <c r="D1100" s="3">
        <v>45393.475856481477</v>
      </c>
      <c r="E1100" s="2" t="s">
        <v>108</v>
      </c>
    </row>
    <row r="1101" spans="1:5" ht="98" x14ac:dyDescent="0.2">
      <c r="A1101" s="2" t="s">
        <v>107</v>
      </c>
      <c r="B1101" s="2" t="str">
        <f>HYPERLINK("https://www.sfgate.com/entertainment/article/movie-review-food-inc-2-revisits-food-19397593.php")</f>
        <v>https://www.sfgate.com/entertainment/article/movie-review-food-inc-2-revisits-food-19397593.php</v>
      </c>
      <c r="C1101" s="2" t="s">
        <v>3492</v>
      </c>
      <c r="D1101" s="3">
        <v>45393.476099537038</v>
      </c>
      <c r="E1101" s="2" t="s">
        <v>1333</v>
      </c>
    </row>
    <row r="1102" spans="1:5" ht="70" x14ac:dyDescent="0.2">
      <c r="A1102" s="2" t="s">
        <v>107</v>
      </c>
      <c r="B1102" s="2" t="str">
        <f>HYPERLINK("https://wtop.com/lifestyle/2024/04/movie-review-food-inc-2-revisits-food-system-sees-reason-for-frustration-and-a-little-hope/")</f>
        <v>https://wtop.com/lifestyle/2024/04/movie-review-food-inc-2-revisits-food-system-sees-reason-for-frustration-and-a-little-hope/</v>
      </c>
      <c r="C1102" s="2" t="s">
        <v>3076</v>
      </c>
      <c r="D1102" s="3">
        <v>45393.476342592592</v>
      </c>
      <c r="E1102" s="2" t="s">
        <v>626</v>
      </c>
    </row>
    <row r="1103" spans="1:5" ht="70" x14ac:dyDescent="0.2">
      <c r="A1103" s="2" t="s">
        <v>107</v>
      </c>
      <c r="B1103" s="2" t="str">
        <f>HYPERLINK("https://www.newwestrecord.ca/entertainment-news/movie-review-food-inc-2-revisits-food-system-sees-reason-for-frustration-and-a-little-hope-8585415")</f>
        <v>https://www.newwestrecord.ca/entertainment-news/movie-review-food-inc-2-revisits-food-system-sees-reason-for-frustration-and-a-little-hope-8585415</v>
      </c>
      <c r="C1103" s="2" t="s">
        <v>1885</v>
      </c>
      <c r="D1103" s="3">
        <v>45393.476620370369</v>
      </c>
      <c r="E1103" s="2" t="s">
        <v>108</v>
      </c>
    </row>
    <row r="1104" spans="1:5" ht="70" x14ac:dyDescent="0.2">
      <c r="A1104" s="2" t="s">
        <v>107</v>
      </c>
      <c r="B1104" s="2" t="str">
        <f>HYPERLINK("https://www.newwestrecord.ca/food/movie-review-food-inc-2-revisits-food-system-sees-reason-for-frustration-and-a-little-hope-8585419")</f>
        <v>https://www.newwestrecord.ca/food/movie-review-food-inc-2-revisits-food-system-sees-reason-for-frustration-and-a-little-hope-8585419</v>
      </c>
      <c r="C1104" s="2" t="s">
        <v>1885</v>
      </c>
      <c r="D1104" s="3">
        <v>45393.476620370369</v>
      </c>
      <c r="E1104" s="2" t="s">
        <v>108</v>
      </c>
    </row>
    <row r="1105" spans="1:5" ht="70" x14ac:dyDescent="0.2">
      <c r="A1105" s="2" t="s">
        <v>107</v>
      </c>
      <c r="B1105" s="2" t="str">
        <f>HYPERLINK("https://www.tricitynews.com/food/movie-review-food-inc-2-revisits-food-system-sees-reason-for-frustration-and-a-little-hope-8585419")</f>
        <v>https://www.tricitynews.com/food/movie-review-food-inc-2-revisits-food-system-sees-reason-for-frustration-and-a-little-hope-8585419</v>
      </c>
      <c r="C1105" s="2" t="s">
        <v>2352</v>
      </c>
      <c r="D1105" s="3">
        <v>45393.477141203701</v>
      </c>
      <c r="E1105" s="2" t="s">
        <v>108</v>
      </c>
    </row>
    <row r="1106" spans="1:5" ht="70" x14ac:dyDescent="0.2">
      <c r="A1106" s="2" t="s">
        <v>107</v>
      </c>
      <c r="B1106" s="2" t="str">
        <f>HYPERLINK("https://www.thespec.com/entertainment/movie-review-food-inc-2-revisits-food-system-sees-reason-for-frustration-and-a-little/article_a8e76dbf-9045-577c-8787-33eeb8f15765.html")</f>
        <v>https://www.thespec.com/entertainment/movie-review-food-inc-2-revisits-food-system-sees-reason-for-frustration-and-a-little/article_a8e76dbf-9045-577c-8787-33eeb8f15765.html</v>
      </c>
      <c r="C1106" s="2" t="s">
        <v>2836</v>
      </c>
      <c r="D1106" s="3">
        <v>45393.477152777778</v>
      </c>
      <c r="E1106" s="2" t="s">
        <v>626</v>
      </c>
    </row>
    <row r="1107" spans="1:5" ht="70" x14ac:dyDescent="0.2">
      <c r="A1107" s="2" t="s">
        <v>107</v>
      </c>
      <c r="B1107" s="2" t="str">
        <f>HYPERLINK("https://www.tricitynews.com/entertainment-news/movie-review-food-inc-2-revisits-food-system-sees-reason-for-frustration-and-a-little-hope-8585415")</f>
        <v>https://www.tricitynews.com/entertainment-news/movie-review-food-inc-2-revisits-food-system-sees-reason-for-frustration-and-a-little-hope-8585415</v>
      </c>
      <c r="C1107" s="2" t="s">
        <v>2352</v>
      </c>
      <c r="D1107" s="3">
        <v>45393.477187500001</v>
      </c>
      <c r="E1107" s="2" t="s">
        <v>108</v>
      </c>
    </row>
    <row r="1108" spans="1:5" ht="70" x14ac:dyDescent="0.2">
      <c r="A1108" s="2" t="s">
        <v>107</v>
      </c>
      <c r="B1108" s="2" t="str">
        <f>HYPERLINK("https://www.timescolonist.com/entertainment-news/movie-review-food-inc-2-revisits-food-system-sees-reason-for-frustration-and-a-little-hope-8585415")</f>
        <v>https://www.timescolonist.com/entertainment-news/movie-review-food-inc-2-revisits-food-system-sees-reason-for-frustration-and-a-little-hope-8585415</v>
      </c>
      <c r="C1108" s="2" t="s">
        <v>2860</v>
      </c>
      <c r="D1108" s="3">
        <v>45393.47724537037</v>
      </c>
      <c r="E1108" s="2" t="s">
        <v>108</v>
      </c>
    </row>
    <row r="1109" spans="1:5" ht="70" x14ac:dyDescent="0.2">
      <c r="A1109" s="2" t="s">
        <v>107</v>
      </c>
      <c r="B1109" s="2" t="str">
        <f>HYPERLINK("https://www.timescolonist.com/food/movie-review-food-inc-2-revisits-food-system-sees-reason-for-frustration-and-a-little-hope-8585419")</f>
        <v>https://www.timescolonist.com/food/movie-review-food-inc-2-revisits-food-system-sees-reason-for-frustration-and-a-little-hope-8585419</v>
      </c>
      <c r="C1109" s="2" t="s">
        <v>2860</v>
      </c>
      <c r="D1109" s="3">
        <v>45393.477268518523</v>
      </c>
      <c r="E1109" s="2" t="s">
        <v>108</v>
      </c>
    </row>
    <row r="1110" spans="1:5" ht="70" x14ac:dyDescent="0.2">
      <c r="A1110" s="2" t="s">
        <v>107</v>
      </c>
      <c r="B1110" s="2" t="str">
        <f>HYPERLINK("https://www.mymcmurray.com/2024/04/11/movie-review-food-inc-2-revisits-food-system-sees-reason-for-frustration-and-a-little-hope/")</f>
        <v>https://www.mymcmurray.com/2024/04/11/movie-review-food-inc-2-revisits-food-system-sees-reason-for-frustration-and-a-little-hope/</v>
      </c>
      <c r="C1110" s="2" t="s">
        <v>1101</v>
      </c>
      <c r="D1110" s="3">
        <v>45393.477569444447</v>
      </c>
      <c r="E1110" s="2" t="s">
        <v>626</v>
      </c>
    </row>
    <row r="1111" spans="1:5" ht="70" x14ac:dyDescent="0.2">
      <c r="A1111" s="2" t="s">
        <v>107</v>
      </c>
      <c r="B1111" s="2" t="str">
        <f>HYPERLINK("https://www.piquenewsmagazine.com/food/movie-review-food-inc-2-revisits-food-system-sees-reason-for-frustration-and-a-little-hope-8585419")</f>
        <v>https://www.piquenewsmagazine.com/food/movie-review-food-inc-2-revisits-food-system-sees-reason-for-frustration-and-a-little-hope-8585419</v>
      </c>
      <c r="C1111" s="2" t="s">
        <v>2072</v>
      </c>
      <c r="D1111" s="3">
        <v>45393.477812500001</v>
      </c>
      <c r="E1111" s="2" t="s">
        <v>108</v>
      </c>
    </row>
    <row r="1112" spans="1:5" ht="70" x14ac:dyDescent="0.2">
      <c r="A1112" s="2" t="s">
        <v>107</v>
      </c>
      <c r="B1112" s="2" t="str">
        <f>HYPERLINK("https://www.piquenewsmagazine.com/entertainment-news/movie-review-food-inc-2-revisits-food-system-sees-reason-for-frustration-and-a-little-hope-8585415")</f>
        <v>https://www.piquenewsmagazine.com/entertainment-news/movie-review-food-inc-2-revisits-food-system-sees-reason-for-frustration-and-a-little-hope-8585415</v>
      </c>
      <c r="C1112" s="2" t="s">
        <v>2072</v>
      </c>
      <c r="D1112" s="3">
        <v>45393.477962962963</v>
      </c>
      <c r="E1112" s="2" t="s">
        <v>108</v>
      </c>
    </row>
    <row r="1113" spans="1:5" ht="70" x14ac:dyDescent="0.2">
      <c r="A1113" s="2" t="s">
        <v>107</v>
      </c>
      <c r="B1113" s="2" t="str">
        <f>HYPERLINK("https://www.independent.co.uk/news/michael-pollan-ap-oscar-farmer-florida-b2527226.html")</f>
        <v>https://www.independent.co.uk/news/michael-pollan-ap-oscar-farmer-florida-b2527226.html</v>
      </c>
      <c r="C1113" s="2" t="s">
        <v>3649</v>
      </c>
      <c r="D1113" s="3">
        <v>45393.478321759263</v>
      </c>
      <c r="E1113" s="2" t="s">
        <v>108</v>
      </c>
    </row>
    <row r="1114" spans="1:5" ht="70" x14ac:dyDescent="0.2">
      <c r="A1114" s="2" t="s">
        <v>1634</v>
      </c>
      <c r="B1114" s="2" t="str">
        <f>HYPERLINK("https://toronto.citynews.ca/2024/04/11/movie-review-food-inc-2-revisits-food-system-sees-reason-for-frustration-and-a-little-hope/")</f>
        <v>https://toronto.citynews.ca/2024/04/11/movie-review-food-inc-2-revisits-food-system-sees-reason-for-frustration-and-a-little-hope/</v>
      </c>
      <c r="C1114" s="2" t="s">
        <v>3310</v>
      </c>
      <c r="D1114" s="3">
        <v>45393.478425925918</v>
      </c>
      <c r="E1114" s="2" t="s">
        <v>1519</v>
      </c>
    </row>
    <row r="1115" spans="1:5" ht="70" x14ac:dyDescent="0.2">
      <c r="A1115" s="2" t="s">
        <v>1634</v>
      </c>
      <c r="B1115" s="2" t="str">
        <f>HYPERLINK("https://kitchener.citynews.ca/2024/04/11/movie-review-food-inc-2-revisits-food-system-sees-reason-for-frustration-and-a-little-hope/")</f>
        <v>https://kitchener.citynews.ca/2024/04/11/movie-review-food-inc-2-revisits-food-system-sees-reason-for-frustration-and-a-little-hope/</v>
      </c>
      <c r="C1115" s="2" t="s">
        <v>2620</v>
      </c>
      <c r="D1115" s="3">
        <v>45393.478472222218</v>
      </c>
      <c r="E1115" s="2" t="s">
        <v>1519</v>
      </c>
    </row>
    <row r="1116" spans="1:5" ht="84" x14ac:dyDescent="0.2">
      <c r="A1116" s="2" t="s">
        <v>107</v>
      </c>
      <c r="B1116" s="2" t="str">
        <f>HYPERLINK("https://www.register-herald.com/news/entertainment/movie-review-food-inc-2-revisits-food-system-sees-reason-for-frustration-and-a-little/article_c9c1e97f-53cb-526f-a025-2d1510e43f94.html")</f>
        <v>https://www.register-herald.com/news/entertainment/movie-review-food-inc-2-revisits-food-system-sees-reason-for-frustration-and-a-little/article_c9c1e97f-53cb-526f-a025-2d1510e43f94.html</v>
      </c>
      <c r="C1116" s="2" t="s">
        <v>1795</v>
      </c>
      <c r="D1116" s="3">
        <v>45393.478842592587</v>
      </c>
      <c r="E1116" s="2" t="s">
        <v>108</v>
      </c>
    </row>
    <row r="1117" spans="1:5" ht="70" x14ac:dyDescent="0.2">
      <c r="A1117" s="2" t="s">
        <v>107</v>
      </c>
      <c r="B1117" s="2" t="str">
        <f>HYPERLINK("https://www.pressregister.com/movie-review-food-inc-2-revisits-food-system-sees-reason-frustration-and-little-hope-1")</f>
        <v>https://www.pressregister.com/movie-review-food-inc-2-revisits-food-system-sees-reason-frustration-and-little-hope-1</v>
      </c>
      <c r="C1117" s="2" t="s">
        <v>962</v>
      </c>
      <c r="D1117" s="3">
        <v>45393.480347222219</v>
      </c>
      <c r="E1117" s="2" t="s">
        <v>108</v>
      </c>
    </row>
    <row r="1118" spans="1:5" ht="70" x14ac:dyDescent="0.2">
      <c r="A1118" s="2" t="s">
        <v>107</v>
      </c>
      <c r="B1118" s="2" t="str">
        <f>HYPERLINK("https://www.grenadastar.com/movie-review-food-inc-2-revisits-food-system-sees-reason-frustration-and-little-hope-0")</f>
        <v>https://www.grenadastar.com/movie-review-food-inc-2-revisits-food-system-sees-reason-frustration-and-little-hope-0</v>
      </c>
      <c r="C1118" s="2" t="s">
        <v>857</v>
      </c>
      <c r="D1118" s="3">
        <v>45393.480636574073</v>
      </c>
      <c r="E1118" s="2" t="s">
        <v>108</v>
      </c>
    </row>
    <row r="1119" spans="1:5" ht="70" x14ac:dyDescent="0.2">
      <c r="A1119" s="2" t="s">
        <v>107</v>
      </c>
      <c r="B1119" s="2" t="str">
        <f>HYPERLINK("https://www.gwcommonwealth.com/movie-review-food-inc-2-revisits-food-system-sees-reason-frustration-and-little-hope")</f>
        <v>https://www.gwcommonwealth.com/movie-review-food-inc-2-revisits-food-system-sees-reason-frustration-and-little-hope</v>
      </c>
      <c r="C1119" s="2" t="s">
        <v>1673</v>
      </c>
      <c r="D1119" s="3">
        <v>45393.48165509259</v>
      </c>
      <c r="E1119" s="2" t="s">
        <v>108</v>
      </c>
    </row>
    <row r="1120" spans="1:5" ht="70" x14ac:dyDescent="0.2">
      <c r="A1120" s="2" t="s">
        <v>107</v>
      </c>
      <c r="B1120" s="2" t="str">
        <f>HYPERLINK("https://www.delta-optimist.com/entertainment-news/movie-review-food-inc-2-revisits-food-system-sees-reason-for-frustration-and-a-little-hope-8585415")</f>
        <v>https://www.delta-optimist.com/entertainment-news/movie-review-food-inc-2-revisits-food-system-sees-reason-for-frustration-and-a-little-hope-8585415</v>
      </c>
      <c r="C1120" s="2" t="s">
        <v>2001</v>
      </c>
      <c r="D1120" s="3">
        <v>45393.481782407413</v>
      </c>
      <c r="E1120" s="2" t="s">
        <v>108</v>
      </c>
    </row>
    <row r="1121" spans="1:5" ht="70" x14ac:dyDescent="0.2">
      <c r="A1121" s="2" t="s">
        <v>107</v>
      </c>
      <c r="B1121" s="2" t="str">
        <f>HYPERLINK("https://www.delta-optimist.com/food/movie-review-food-inc-2-revisits-food-system-sees-reason-for-frustration-and-a-little-hope-8585419")</f>
        <v>https://www.delta-optimist.com/food/movie-review-food-inc-2-revisits-food-system-sees-reason-for-frustration-and-a-little-hope-8585419</v>
      </c>
      <c r="C1121" s="2" t="s">
        <v>2001</v>
      </c>
      <c r="D1121" s="3">
        <v>45393.481805555559</v>
      </c>
      <c r="E1121" s="2" t="s">
        <v>108</v>
      </c>
    </row>
    <row r="1122" spans="1:5" ht="98" x14ac:dyDescent="0.2">
      <c r="A1122" s="2" t="s">
        <v>107</v>
      </c>
      <c r="B1122" s="2" t="str">
        <f>HYPERLINK("https://www.timesunion.com/entertainment/article/movie-review-food-inc-2-revisits-food-19397593.php")</f>
        <v>https://www.timesunion.com/entertainment/article/movie-review-food-inc-2-revisits-food-19397593.php</v>
      </c>
      <c r="C1122" s="2" t="s">
        <v>2922</v>
      </c>
      <c r="D1122" s="3">
        <v>45393.481886574067</v>
      </c>
      <c r="E1122" s="2" t="s">
        <v>1333</v>
      </c>
    </row>
    <row r="1123" spans="1:5" ht="70" x14ac:dyDescent="0.2">
      <c r="A1123" s="2" t="s">
        <v>107</v>
      </c>
      <c r="B1123" s="2" t="str">
        <f>HYPERLINK("https://www.princegeorgecitizen.com/food/movie-review-food-inc-2-revisits-food-system-sees-reason-for-frustration-and-a-little-hope-8585419")</f>
        <v>https://www.princegeorgecitizen.com/food/movie-review-food-inc-2-revisits-food-system-sees-reason-for-frustration-and-a-little-hope-8585419</v>
      </c>
      <c r="C1123" s="2" t="s">
        <v>2290</v>
      </c>
      <c r="D1123" s="3">
        <v>45393.482789351852</v>
      </c>
      <c r="E1123" s="2" t="s">
        <v>108</v>
      </c>
    </row>
    <row r="1124" spans="1:5" ht="70" x14ac:dyDescent="0.2">
      <c r="A1124" s="2" t="s">
        <v>107</v>
      </c>
      <c r="B1124" s="2" t="str">
        <f>HYPERLINK("https://www.princegeorgecitizen.com/entertainment-news/movie-review-food-inc-2-revisits-food-system-sees-reason-for-frustration-and-a-little-hope-8585415")</f>
        <v>https://www.princegeorgecitizen.com/entertainment-news/movie-review-food-inc-2-revisits-food-system-sees-reason-for-frustration-and-a-little-hope-8585415</v>
      </c>
      <c r="C1124" s="2" t="s">
        <v>2290</v>
      </c>
      <c r="D1124" s="3">
        <v>45393.482800925929</v>
      </c>
      <c r="E1124" s="2" t="s">
        <v>108</v>
      </c>
    </row>
    <row r="1125" spans="1:5" ht="70" x14ac:dyDescent="0.2">
      <c r="A1125" s="2" t="s">
        <v>107</v>
      </c>
      <c r="B1125" s="2" t="str">
        <f>HYPERLINK("https://www.sasktoday.ca/food/movie-review-food-inc-2-revisits-food-system-sees-reason-for-frustration-and-a-little-hope-8585419")</f>
        <v>https://www.sasktoday.ca/food/movie-review-food-inc-2-revisits-food-system-sees-reason-for-frustration-and-a-little-hope-8585419</v>
      </c>
      <c r="C1125" s="2" t="s">
        <v>2124</v>
      </c>
      <c r="D1125" s="3">
        <v>45393.482812499999</v>
      </c>
      <c r="E1125" s="2" t="s">
        <v>108</v>
      </c>
    </row>
    <row r="1126" spans="1:5" ht="70" x14ac:dyDescent="0.2">
      <c r="A1126" s="2" t="s">
        <v>107</v>
      </c>
      <c r="B1126" s="2" t="str">
        <f>HYPERLINK("https://www.sasktoday.ca/entertainment-news/movie-review-food-inc-2-revisits-food-system-sees-reason-for-frustration-and-a-little-hope-8585415")</f>
        <v>https://www.sasktoday.ca/entertainment-news/movie-review-food-inc-2-revisits-food-system-sees-reason-for-frustration-and-a-little-hope-8585415</v>
      </c>
      <c r="C1126" s="2" t="s">
        <v>2124</v>
      </c>
      <c r="D1126" s="3">
        <v>45393.482812499999</v>
      </c>
      <c r="E1126" s="2" t="s">
        <v>108</v>
      </c>
    </row>
    <row r="1127" spans="1:5" ht="70" x14ac:dyDescent="0.2">
      <c r="A1127" s="2" t="s">
        <v>3680</v>
      </c>
      <c r="B1127" s="2" t="str">
        <f>HYPERLINK("https://www.dailymail.co.uk/wires/ap/article-13298015/Movie-Review--Food-Inc-2-revisits-food-sees-reason-frustration-little-hope.html")</f>
        <v>https://www.dailymail.co.uk/wires/ap/article-13298015/Movie-Review--Food-Inc-2-revisits-food-sees-reason-frustration-little-hope.html</v>
      </c>
      <c r="C1127" s="2" t="s">
        <v>3655</v>
      </c>
      <c r="D1127" s="3">
        <v>45393.483703703707</v>
      </c>
      <c r="E1127" s="2" t="s">
        <v>1519</v>
      </c>
    </row>
    <row r="1128" spans="1:5" ht="84" x14ac:dyDescent="0.2">
      <c r="A1128" s="2" t="s">
        <v>1634</v>
      </c>
      <c r="B1128" s="2" t="str">
        <f>HYPERLINK("https://www.ottumwacourier.com/news/national_news/movie-review-food-inc-2-revisits-food-system-sees-reason-for-frustration-and-a-little/article_e373223a-41a7-5774-96ed-f3ddf4278b7f.html")</f>
        <v>https://www.ottumwacourier.com/news/national_news/movie-review-food-inc-2-revisits-food-system-sees-reason-for-frustration-and-a-little/article_e373223a-41a7-5774-96ed-f3ddf4278b7f.html</v>
      </c>
      <c r="C1128" s="2" t="s">
        <v>1504</v>
      </c>
      <c r="D1128" s="3">
        <v>45393.484895833331</v>
      </c>
      <c r="E1128" s="2" t="s">
        <v>1519</v>
      </c>
    </row>
    <row r="1129" spans="1:5" ht="70" x14ac:dyDescent="0.2">
      <c r="A1129" s="2" t="s">
        <v>107</v>
      </c>
      <c r="B1129" s="2" t="str">
        <f>HYPERLINK("https://www.nsnews.com/the-mix/movie-review-food-inc-2-revisits-food-system-sees-reason-for-frustration-and-a-little-hope-8585503")</f>
        <v>https://www.nsnews.com/the-mix/movie-review-food-inc-2-revisits-food-system-sees-reason-for-frustration-and-a-little-hope-8585503</v>
      </c>
      <c r="C1129" s="2" t="s">
        <v>2400</v>
      </c>
      <c r="D1129" s="3">
        <v>45393.493923611109</v>
      </c>
      <c r="E1129" s="2" t="s">
        <v>108</v>
      </c>
    </row>
    <row r="1130" spans="1:5" ht="70" x14ac:dyDescent="0.2">
      <c r="A1130" s="2" t="s">
        <v>107</v>
      </c>
      <c r="B1130" s="2" t="str">
        <f>HYPERLINK("https://abcnews.go.com/Entertainment/wireStory/movie-review-food-2-revisits-food-system-sees-109135529")</f>
        <v>https://abcnews.go.com/Entertainment/wireStory/movie-review-food-2-revisits-food-system-sees-109135529</v>
      </c>
      <c r="C1130" s="2" t="s">
        <v>3622</v>
      </c>
      <c r="D1130" s="3">
        <v>45393.497511574067</v>
      </c>
      <c r="E1130" s="2" t="s">
        <v>108</v>
      </c>
    </row>
    <row r="1131" spans="1:5" ht="84" x14ac:dyDescent="0.2">
      <c r="A1131" s="2" t="s">
        <v>107</v>
      </c>
      <c r="B1131" s="2" t="str">
        <f>HYPERLINK("https://www.chronicleonline.com/sports/nascar/movie-review-food-inc-2-revisits-food-system-sees-reason-for-frustration-and-a-little/article_5b70449a-4a86-5075-be7c-839c1cd86eb2.html")</f>
        <v>https://www.chronicleonline.com/sports/nascar/movie-review-food-inc-2-revisits-food-system-sees-reason-for-frustration-and-a-little/article_5b70449a-4a86-5075-be7c-839c1cd86eb2.html</v>
      </c>
      <c r="C1131" s="2" t="s">
        <v>2121</v>
      </c>
      <c r="D1131" s="3">
        <v>45393.498263888891</v>
      </c>
      <c r="E1131" s="2" t="s">
        <v>108</v>
      </c>
    </row>
    <row r="1132" spans="1:5" ht="70" x14ac:dyDescent="0.2">
      <c r="A1132" s="2" t="s">
        <v>107</v>
      </c>
      <c r="B1132" s="2" t="str">
        <f>HYPERLINK("https://www.enterprise-journal.com/movie-review-food-inc-2-revisits-food-system-sees-reason-frustration-and-little-hope")</f>
        <v>https://www.enterprise-journal.com/movie-review-food-inc-2-revisits-food-system-sees-reason-frustration-and-little-hope</v>
      </c>
      <c r="C1132" s="2" t="s">
        <v>1372</v>
      </c>
      <c r="D1132" s="3">
        <v>45393.508263888893</v>
      </c>
      <c r="E1132" s="2" t="s">
        <v>108</v>
      </c>
    </row>
    <row r="1133" spans="1:5" ht="70" x14ac:dyDescent="0.2">
      <c r="A1133" s="2" t="s">
        <v>107</v>
      </c>
      <c r="B1133" s="2" t="str">
        <f>HYPERLINK("https://www.wral.com/story/movie-review-food-inc-2-revisits-food-system-sees-reason-for-frustration-and-a-little-hope/21375159/")</f>
        <v>https://www.wral.com/story/movie-review-food-inc-2-revisits-food-system-sees-reason-for-frustration-and-a-little-hope/21375159/</v>
      </c>
      <c r="C1133" s="2" t="s">
        <v>3185</v>
      </c>
      <c r="D1133" s="3">
        <v>45393.510393518518</v>
      </c>
      <c r="E1133" s="2" t="s">
        <v>108</v>
      </c>
    </row>
    <row r="1134" spans="1:5" ht="70" x14ac:dyDescent="0.2">
      <c r="A1134" s="2" t="s">
        <v>107</v>
      </c>
      <c r="B1134" s="2" t="str">
        <f>HYPERLINK("https://www.mymotherlode.com/entertainment/3339061/movie-review-food-inc-2-revisits-food-system-sees-reason-for-frustration-and-a-little-hope.html")</f>
        <v>https://www.mymotherlode.com/entertainment/3339061/movie-review-food-inc-2-revisits-food-system-sees-reason-for-frustration-and-a-little-hope.html</v>
      </c>
      <c r="C1134" s="2" t="s">
        <v>2096</v>
      </c>
      <c r="D1134" s="3">
        <v>45393.515185185177</v>
      </c>
      <c r="E1134" s="2" t="s">
        <v>626</v>
      </c>
    </row>
    <row r="1135" spans="1:5" ht="70" x14ac:dyDescent="0.2">
      <c r="A1135" s="2" t="s">
        <v>402</v>
      </c>
      <c r="B1135" s="2" t="str">
        <f>HYPERLINK("https://calgarysun.com/life/food/lunchables-under-fire-after-reports-of-concerning-lead-sodium-levels")</f>
        <v>https://calgarysun.com/life/food/lunchables-under-fire-after-reports-of-concerning-lead-sodium-levels</v>
      </c>
      <c r="C1135" s="2" t="s">
        <v>2265</v>
      </c>
      <c r="D1135" s="3">
        <v>45393.546041666668</v>
      </c>
      <c r="E1135" s="2" t="s">
        <v>403</v>
      </c>
    </row>
    <row r="1136" spans="1:5" ht="70" x14ac:dyDescent="0.2">
      <c r="A1136" s="2" t="s">
        <v>402</v>
      </c>
      <c r="B1136" s="2" t="str">
        <f>HYPERLINK("https://edmontonsun.com/life/food/lunchables-under-fire-after-reports-of-concerning-lead-sodium-levels")</f>
        <v>https://edmontonsun.com/life/food/lunchables-under-fire-after-reports-of-concerning-lead-sodium-levels</v>
      </c>
      <c r="C1136" s="2" t="s">
        <v>2308</v>
      </c>
      <c r="D1136" s="3">
        <v>45393.546041666668</v>
      </c>
      <c r="E1136" s="2" t="s">
        <v>403</v>
      </c>
    </row>
    <row r="1137" spans="1:5" ht="70" x14ac:dyDescent="0.2">
      <c r="A1137" s="2" t="s">
        <v>402</v>
      </c>
      <c r="B1137" s="2" t="str">
        <f>HYPERLINK("https://ottawasun.com/life/food/lunchables-under-fire-after-reports-of-concerning-lead-sodium-levels")</f>
        <v>https://ottawasun.com/life/food/lunchables-under-fire-after-reports-of-concerning-lead-sodium-levels</v>
      </c>
      <c r="C1137" s="2" t="s">
        <v>2309</v>
      </c>
      <c r="D1137" s="3">
        <v>45393.546041666668</v>
      </c>
      <c r="E1137" s="2" t="s">
        <v>403</v>
      </c>
    </row>
    <row r="1138" spans="1:5" ht="70" x14ac:dyDescent="0.2">
      <c r="A1138" s="2" t="s">
        <v>402</v>
      </c>
      <c r="B1138" s="2" t="str">
        <f>HYPERLINK("https://winnipegsun.com/life/food/lunchables-under-fire-after-reports-of-concerning-lead-sodium-levels")</f>
        <v>https://winnipegsun.com/life/food/lunchables-under-fire-after-reports-of-concerning-lead-sodium-levels</v>
      </c>
      <c r="C1138" s="2" t="s">
        <v>2563</v>
      </c>
      <c r="D1138" s="3">
        <v>45393.546041666668</v>
      </c>
      <c r="E1138" s="2" t="s">
        <v>403</v>
      </c>
    </row>
    <row r="1139" spans="1:5" ht="70" x14ac:dyDescent="0.2">
      <c r="A1139" s="2" t="s">
        <v>402</v>
      </c>
      <c r="B1139" s="2" t="str">
        <f>HYPERLINK("https://torontosun.com/life/food/lunchables-under-fire-after-reports-of-concerning-lead-sodium-levels")</f>
        <v>https://torontosun.com/life/food/lunchables-under-fire-after-reports-of-concerning-lead-sodium-levels</v>
      </c>
      <c r="C1139" s="2" t="s">
        <v>3115</v>
      </c>
      <c r="D1139" s="3">
        <v>45393.555011574077</v>
      </c>
      <c r="E1139" s="2" t="s">
        <v>403</v>
      </c>
    </row>
    <row r="1140" spans="1:5" ht="70" x14ac:dyDescent="0.2">
      <c r="A1140" s="2" t="s">
        <v>3028</v>
      </c>
      <c r="B1140" s="2" t="str">
        <f>HYPERLINK("https://www.newsday.com/entertainment/movie-review-food-inc-x77696")</f>
        <v>https://www.newsday.com/entertainment/movie-review-food-inc-x77696</v>
      </c>
      <c r="C1140" s="2" t="s">
        <v>2950</v>
      </c>
      <c r="D1140" s="3">
        <v>45393.559317129628</v>
      </c>
      <c r="E1140" s="2" t="s">
        <v>108</v>
      </c>
    </row>
    <row r="1141" spans="1:5" ht="70" x14ac:dyDescent="0.2">
      <c r="A1141" s="2" t="s">
        <v>2810</v>
      </c>
      <c r="B1141" s="2" t="str">
        <f>HYPERLINK("https://www.dailyherald.com/20240411/movies/movie-review-food-inc-2-revisits-food-system-sees-reason-for-frustration-and-a-little-hope/")</f>
        <v>https://www.dailyherald.com/20240411/movies/movie-review-food-inc-2-revisits-food-system-sees-reason-for-frustration-and-a-little-hope/</v>
      </c>
      <c r="C1141" s="2" t="s">
        <v>2811</v>
      </c>
      <c r="D1141" s="3">
        <v>45393.568958333337</v>
      </c>
      <c r="E1141" s="2" t="s">
        <v>2142</v>
      </c>
    </row>
    <row r="1142" spans="1:5" ht="70" x14ac:dyDescent="0.2">
      <c r="A1142" s="2" t="s">
        <v>2946</v>
      </c>
      <c r="B1142" s="2" t="str">
        <f>HYPERLINK("https://www.kqed.org/arts/13955801/food-inc-2-where-to-stream-prime-apple-tv-michael-pollan")</f>
        <v>https://www.kqed.org/arts/13955801/food-inc-2-where-to-stream-prime-apple-tv-michael-pollan</v>
      </c>
      <c r="C1142" s="2" t="s">
        <v>2947</v>
      </c>
      <c r="D1142" s="3">
        <v>45393.56958333333</v>
      </c>
      <c r="E1142" s="2" t="s">
        <v>2142</v>
      </c>
    </row>
    <row r="1143" spans="1:5" ht="70" x14ac:dyDescent="0.2">
      <c r="A1143" s="2" t="s">
        <v>1968</v>
      </c>
      <c r="B1143" s="2" t="str">
        <f>HYPERLINK("https://azdailysun.com/food-inc-2-revisits-food-system/article_d5c7d9c6-2d02-50e8-abc2-1ebd09aff6a5.html")</f>
        <v>https://azdailysun.com/food-inc-2-revisits-food-system/article_d5c7d9c6-2d02-50e8-abc2-1ebd09aff6a5.html</v>
      </c>
      <c r="C1143" s="2" t="s">
        <v>1969</v>
      </c>
      <c r="D1143" s="3">
        <v>45393.610439814824</v>
      </c>
      <c r="E1143" s="2" t="s">
        <v>108</v>
      </c>
    </row>
    <row r="1144" spans="1:5" ht="409.6" x14ac:dyDescent="0.2">
      <c r="A1144" s="2" t="s">
        <v>970</v>
      </c>
      <c r="B1144" s="2" t="str">
        <f>HYPERLINK("https://sovren.media/video/the-cost-of-fast-food-4451.html")</f>
        <v>https://sovren.media/video/the-cost-of-fast-food-4451.html</v>
      </c>
      <c r="C1144" s="2" t="s">
        <v>971</v>
      </c>
      <c r="D1144" s="3">
        <v>45393.670335648138</v>
      </c>
      <c r="E1144" s="2" t="s">
        <v>972</v>
      </c>
    </row>
    <row r="1145" spans="1:5" ht="70" x14ac:dyDescent="0.2">
      <c r="A1145" s="2" t="s">
        <v>621</v>
      </c>
      <c r="B1145" s="2" t="str">
        <f>HYPERLINK("https://www.greenwichtime.com/entertainment/article/movie-review-food-inc-2-revisits-food-19397593.php")</f>
        <v>https://www.greenwichtime.com/entertainment/article/movie-review-food-inc-2-revisits-food-19397593.php</v>
      </c>
      <c r="C1145" s="2" t="s">
        <v>2179</v>
      </c>
      <c r="D1145" s="3">
        <v>45393.680937500001</v>
      </c>
      <c r="E1145" s="2" t="s">
        <v>108</v>
      </c>
    </row>
    <row r="1146" spans="1:5" ht="70" x14ac:dyDescent="0.2">
      <c r="A1146" s="2" t="s">
        <v>621</v>
      </c>
      <c r="B1146" s="2" t="str">
        <f>HYPERLINK("https://www.thehour.com/entertainment/article/movie-review-food-inc-2-revisits-food-19397593.php")</f>
        <v>https://www.thehour.com/entertainment/article/movie-review-food-inc-2-revisits-food-19397593.php</v>
      </c>
      <c r="C1146" s="2" t="s">
        <v>2183</v>
      </c>
      <c r="D1146" s="3">
        <v>45393.680937500001</v>
      </c>
      <c r="E1146" s="2" t="s">
        <v>108</v>
      </c>
    </row>
    <row r="1147" spans="1:5" ht="70" x14ac:dyDescent="0.2">
      <c r="A1147" s="2" t="s">
        <v>621</v>
      </c>
      <c r="B1147" s="2" t="str">
        <f>HYPERLINK("https://nz.news.yahoo.com/movie-review-food-inc-2-151615501.html")</f>
        <v>https://nz.news.yahoo.com/movie-review-food-inc-2-151615501.html</v>
      </c>
      <c r="C1147" s="2" t="s">
        <v>2518</v>
      </c>
      <c r="D1147" s="3">
        <v>45393.680937500001</v>
      </c>
      <c r="E1147" s="2" t="s">
        <v>108</v>
      </c>
    </row>
    <row r="1148" spans="1:5" ht="70" x14ac:dyDescent="0.2">
      <c r="A1148" s="2" t="s">
        <v>1635</v>
      </c>
      <c r="B1148" s="2" t="str">
        <f>HYPERLINK("https://uk.movies.yahoo.com/movie-review-food-inc-2-151615501.html")</f>
        <v>https://uk.movies.yahoo.com/movie-review-food-inc-2-151615501.html</v>
      </c>
      <c r="C1148" s="2" t="s">
        <v>2698</v>
      </c>
      <c r="D1148" s="3">
        <v>45393.680937500001</v>
      </c>
      <c r="E1148" s="2" t="s">
        <v>1519</v>
      </c>
    </row>
    <row r="1149" spans="1:5" ht="70" x14ac:dyDescent="0.2">
      <c r="A1149" s="2" t="s">
        <v>621</v>
      </c>
      <c r="B1149" s="2" t="str">
        <f>HYPERLINK("https://ca.style.yahoo.com/movie-review-food-inc-2-151615501.html")</f>
        <v>https://ca.style.yahoo.com/movie-review-food-inc-2-151615501.html</v>
      </c>
      <c r="C1149" s="2" t="s">
        <v>2813</v>
      </c>
      <c r="D1149" s="3">
        <v>45393.680937500001</v>
      </c>
      <c r="E1149" s="2" t="s">
        <v>108</v>
      </c>
    </row>
    <row r="1150" spans="1:5" ht="70" x14ac:dyDescent="0.2">
      <c r="A1150" s="2" t="s">
        <v>1635</v>
      </c>
      <c r="B1150" s="2" t="str">
        <f>HYPERLINK("https://au.news.yahoo.com/movie-review-food-inc-2-151615501.html")</f>
        <v>https://au.news.yahoo.com/movie-review-food-inc-2-151615501.html</v>
      </c>
      <c r="C1150" s="2" t="s">
        <v>3069</v>
      </c>
      <c r="D1150" s="3">
        <v>45393.680937500001</v>
      </c>
      <c r="E1150" s="2" t="s">
        <v>1519</v>
      </c>
    </row>
    <row r="1151" spans="1:5" ht="70" x14ac:dyDescent="0.2">
      <c r="A1151" s="2" t="s">
        <v>621</v>
      </c>
      <c r="B1151" s="2" t="str">
        <f>HYPERLINK("https://www.empireadvance.ca/the-mix/movie-review-food-inc-2-revisits-food-system-sees-reason-for-frustration-and-a-little-hope-8585503")</f>
        <v>https://www.empireadvance.ca/the-mix/movie-review-food-inc-2-revisits-food-system-sees-reason-for-frustration-and-a-little-hope-8585503</v>
      </c>
      <c r="C1151" s="2" t="s">
        <v>622</v>
      </c>
      <c r="D1151" s="3">
        <v>45393.681655092587</v>
      </c>
      <c r="E1151" s="2" t="s">
        <v>108</v>
      </c>
    </row>
    <row r="1152" spans="1:5" ht="70" x14ac:dyDescent="0.2">
      <c r="A1152" s="2" t="s">
        <v>621</v>
      </c>
      <c r="B1152" s="2" t="str">
        <f>HYPERLINK("https://www.empireadvance.ca/film-news/movie-review-food-inc-2-revisits-food-system-sees-reason-for-frustration-and-a-little-hope-8585521")</f>
        <v>https://www.empireadvance.ca/film-news/movie-review-food-inc-2-revisits-food-system-sees-reason-for-frustration-and-a-little-hope-8585521</v>
      </c>
      <c r="C1152" s="2" t="s">
        <v>622</v>
      </c>
      <c r="D1152" s="3">
        <v>45393.681655092587</v>
      </c>
      <c r="E1152" s="2" t="s">
        <v>108</v>
      </c>
    </row>
    <row r="1153" spans="1:5" ht="70" x14ac:dyDescent="0.2">
      <c r="A1153" s="2" t="s">
        <v>621</v>
      </c>
      <c r="B1153" s="2" t="str">
        <f>HYPERLINK("https://www.mountainviewtoday.ca/lifestyle/movie-review-food-inc-2-revisits-food-system-sees-reason-for-frustration-and-a-little-hope-8585410")</f>
        <v>https://www.mountainviewtoday.ca/lifestyle/movie-review-food-inc-2-revisits-food-system-sees-reason-for-frustration-and-a-little-hope-8585410</v>
      </c>
      <c r="C1153" s="2" t="s">
        <v>855</v>
      </c>
      <c r="D1153" s="3">
        <v>45393.681655092587</v>
      </c>
      <c r="E1153" s="2" t="s">
        <v>108</v>
      </c>
    </row>
    <row r="1154" spans="1:5" ht="70" x14ac:dyDescent="0.2">
      <c r="A1154" s="2" t="s">
        <v>621</v>
      </c>
      <c r="B1154" s="2" t="str">
        <f>HYPERLINK("https://www.prpeak.com/food/movie-review-food-inc-2-revisits-food-system-sees-reason-for-frustration-and-a-little-hope-8585419")</f>
        <v>https://www.prpeak.com/food/movie-review-food-inc-2-revisits-food-system-sees-reason-for-frustration-and-a-little-hope-8585419</v>
      </c>
      <c r="C1154" s="2" t="s">
        <v>1469</v>
      </c>
      <c r="D1154" s="3">
        <v>45393.681655092587</v>
      </c>
      <c r="E1154" s="2" t="s">
        <v>108</v>
      </c>
    </row>
    <row r="1155" spans="1:5" ht="70" x14ac:dyDescent="0.2">
      <c r="A1155" s="2" t="s">
        <v>621</v>
      </c>
      <c r="B1155" s="2" t="str">
        <f>HYPERLINK("https://www.bowenislandundercurrent.com/the-mix/movie-review-food-inc-2-revisits-food-system-sees-reason-for-frustration-and-a-little-hope-8585503")</f>
        <v>https://www.bowenislandundercurrent.com/the-mix/movie-review-food-inc-2-revisits-food-system-sees-reason-for-frustration-and-a-little-hope-8585503</v>
      </c>
      <c r="C1155" s="2" t="s">
        <v>1458</v>
      </c>
      <c r="D1155" s="3">
        <v>45393.681655092587</v>
      </c>
      <c r="E1155" s="2" t="s">
        <v>108</v>
      </c>
    </row>
    <row r="1156" spans="1:5" ht="70" x14ac:dyDescent="0.2">
      <c r="A1156" s="2" t="s">
        <v>621</v>
      </c>
      <c r="B1156" s="2" t="str">
        <f>HYPERLINK("https://www.townandcountrytoday.com/film-news/movie-review-food-inc-2-revisits-food-system-sees-reason-for-frustration-and-a-little-hope-8585521")</f>
        <v>https://www.townandcountrytoday.com/film-news/movie-review-food-inc-2-revisits-food-system-sees-reason-for-frustration-and-a-little-hope-8585521</v>
      </c>
      <c r="C1156" s="2" t="s">
        <v>1494</v>
      </c>
      <c r="D1156" s="3">
        <v>45393.681655092587</v>
      </c>
      <c r="E1156" s="2" t="s">
        <v>108</v>
      </c>
    </row>
    <row r="1157" spans="1:5" ht="70" x14ac:dyDescent="0.2">
      <c r="A1157" s="2" t="s">
        <v>621</v>
      </c>
      <c r="B1157" s="2" t="str">
        <f>HYPERLINK("https://www.lakelandtoday.ca/film-news/movie-review-food-inc-2-revisits-food-system-sees-reason-for-frustration-and-a-little-hope-8585521")</f>
        <v>https://www.lakelandtoday.ca/film-news/movie-review-food-inc-2-revisits-food-system-sees-reason-for-frustration-and-a-little-hope-8585521</v>
      </c>
      <c r="C1157" s="2" t="s">
        <v>1692</v>
      </c>
      <c r="D1157" s="3">
        <v>45393.681655092587</v>
      </c>
      <c r="E1157" s="2" t="s">
        <v>108</v>
      </c>
    </row>
    <row r="1158" spans="1:5" ht="70" x14ac:dyDescent="0.2">
      <c r="A1158" s="2" t="s">
        <v>621</v>
      </c>
      <c r="B1158" s="2" t="str">
        <f>HYPERLINK("https://www.coastreporter.net/the-mix/movie-review-food-inc-2-revisits-food-system-sees-reason-for-frustration-and-a-little-hope-8585503")</f>
        <v>https://www.coastreporter.net/the-mix/movie-review-food-inc-2-revisits-food-system-sees-reason-for-frustration-and-a-little-hope-8585503</v>
      </c>
      <c r="C1158" s="2" t="s">
        <v>1997</v>
      </c>
      <c r="D1158" s="3">
        <v>45393.681655092587</v>
      </c>
      <c r="E1158" s="2" t="s">
        <v>108</v>
      </c>
    </row>
    <row r="1159" spans="1:5" ht="70" x14ac:dyDescent="0.2">
      <c r="A1159" s="2" t="s">
        <v>621</v>
      </c>
      <c r="B1159" s="2" t="str">
        <f>HYPERLINK("https://www.coastreporter.net/food/movie-review-food-inc-2-revisits-food-system-sees-reason-for-frustration-and-a-little-hope-8585419")</f>
        <v>https://www.coastreporter.net/food/movie-review-food-inc-2-revisits-food-system-sees-reason-for-frustration-and-a-little-hope-8585419</v>
      </c>
      <c r="C1159" s="2" t="s">
        <v>1997</v>
      </c>
      <c r="D1159" s="3">
        <v>45393.681655092587</v>
      </c>
      <c r="E1159" s="2" t="s">
        <v>108</v>
      </c>
    </row>
    <row r="1160" spans="1:5" ht="70" x14ac:dyDescent="0.2">
      <c r="A1160" s="2" t="s">
        <v>621</v>
      </c>
      <c r="B1160" s="2" t="str">
        <f>HYPERLINK("https://www.stalbertgazette.com/entertainment-news/movie-review-food-inc-2-revisits-food-system-sees-reason-for-frustration-and-a-little-hope-8585415")</f>
        <v>https://www.stalbertgazette.com/entertainment-news/movie-review-food-inc-2-revisits-food-system-sees-reason-for-frustration-and-a-little-hope-8585415</v>
      </c>
      <c r="C1160" s="2" t="s">
        <v>2056</v>
      </c>
      <c r="D1160" s="3">
        <v>45393.681655092587</v>
      </c>
      <c r="E1160" s="2" t="s">
        <v>108</v>
      </c>
    </row>
    <row r="1161" spans="1:5" ht="70" x14ac:dyDescent="0.2">
      <c r="A1161" s="2" t="s">
        <v>621</v>
      </c>
      <c r="B1161" s="2" t="str">
        <f>HYPERLINK("https://www.westernwheel.ca/film-news/movie-review-food-inc-2-revisits-food-system-sees-reason-for-frustration-and-a-little-hope-8585521")</f>
        <v>https://www.westernwheel.ca/film-news/movie-review-food-inc-2-revisits-food-system-sees-reason-for-frustration-and-a-little-hope-8585521</v>
      </c>
      <c r="C1161" s="2" t="s">
        <v>2123</v>
      </c>
      <c r="D1161" s="3">
        <v>45393.681655092587</v>
      </c>
      <c r="E1161" s="2" t="s">
        <v>108</v>
      </c>
    </row>
    <row r="1162" spans="1:5" ht="70" x14ac:dyDescent="0.2">
      <c r="A1162" s="2" t="s">
        <v>621</v>
      </c>
      <c r="B1162" s="2" t="str">
        <f>HYPERLINK("https://www.moosejawtoday.com/film-news/movie-review-food-inc-2-revisits-food-system-sees-reason-for-frustration-and-a-little-hope-8585521")</f>
        <v>https://www.moosejawtoday.com/film-news/movie-review-food-inc-2-revisits-food-system-sees-reason-for-frustration-and-a-little-hope-8585521</v>
      </c>
      <c r="C1162" s="2" t="s">
        <v>2203</v>
      </c>
      <c r="D1162" s="3">
        <v>45393.681655092587</v>
      </c>
      <c r="E1162" s="2" t="s">
        <v>108</v>
      </c>
    </row>
    <row r="1163" spans="1:5" ht="70" x14ac:dyDescent="0.2">
      <c r="A1163" s="2" t="s">
        <v>1635</v>
      </c>
      <c r="B1163" s="2" t="str">
        <f>HYPERLINK("https://www.rmoutlook.com/lifestyle/movie-review-food-inc-2-revisits-food-system-sees-reason-for-frustration-and-a-little-hope-8585410")</f>
        <v>https://www.rmoutlook.com/lifestyle/movie-review-food-inc-2-revisits-food-system-sees-reason-for-frustration-and-a-little-hope-8585410</v>
      </c>
      <c r="C1163" s="2" t="s">
        <v>2257</v>
      </c>
      <c r="D1163" s="3">
        <v>45393.681655092587</v>
      </c>
      <c r="E1163" s="2" t="s">
        <v>1519</v>
      </c>
    </row>
    <row r="1164" spans="1:5" ht="70" x14ac:dyDescent="0.2">
      <c r="A1164" s="2" t="s">
        <v>621</v>
      </c>
      <c r="B1164" s="2" t="str">
        <f>HYPERLINK("https://ca.news.yahoo.com/movie-review-food-inc-2-151710023.html")</f>
        <v>https://ca.news.yahoo.com/movie-review-food-inc-2-151710023.html</v>
      </c>
      <c r="C1164" s="2" t="s">
        <v>3097</v>
      </c>
      <c r="D1164" s="3">
        <v>45393.681655092587</v>
      </c>
      <c r="E1164" s="2" t="s">
        <v>108</v>
      </c>
    </row>
    <row r="1165" spans="1:5" ht="70" x14ac:dyDescent="0.2">
      <c r="A1165" s="2" t="s">
        <v>621</v>
      </c>
      <c r="B1165" s="2" t="str">
        <f>HYPERLINK("https://www.cochraneeagle.ca/film-news/movie-review-food-inc-2-revisits-food-system-sees-reason-for-frustration-and-a-little-hope-8585521")</f>
        <v>https://www.cochraneeagle.ca/film-news/movie-review-food-inc-2-revisits-food-system-sees-reason-for-frustration-and-a-little-hope-8585521</v>
      </c>
      <c r="C1165" s="2" t="s">
        <v>3895</v>
      </c>
      <c r="D1165" s="3">
        <v>45393.681655092587</v>
      </c>
      <c r="E1165" s="2" t="s">
        <v>108</v>
      </c>
    </row>
    <row r="1166" spans="1:5" ht="84" x14ac:dyDescent="0.2">
      <c r="A1166" s="2" t="s">
        <v>1635</v>
      </c>
      <c r="B1166" s="2" t="str">
        <f>HYPERLINK("https://www.ottumwacourier.com/news/ap_lifestyles/movie-review-food-inc-2-revisits-food-system-sees-reason-for-frustration-and-a-little/article_e373223a-41a7-5774-96ed-f3ddf4278b7f.html")</f>
        <v>https://www.ottumwacourier.com/news/ap_lifestyles/movie-review-food-inc-2-revisits-food-system-sees-reason-for-frustration-and-a-little/article_e373223a-41a7-5774-96ed-f3ddf4278b7f.html</v>
      </c>
      <c r="C1166" s="2" t="s">
        <v>1504</v>
      </c>
      <c r="D1166" s="3">
        <v>45393.69767361111</v>
      </c>
      <c r="E1166" s="2" t="s">
        <v>1519</v>
      </c>
    </row>
    <row r="1167" spans="1:5" ht="70" x14ac:dyDescent="0.2">
      <c r="A1167" s="2" t="s">
        <v>621</v>
      </c>
      <c r="B1167" s="2" t="str">
        <f>HYPERLINK("https://www.princegeorgecitizen.com/film-news/movie-review-food-inc-2-revisits-food-system-sees-reason-for-frustration-and-a-little-hope-8585521")</f>
        <v>https://www.princegeorgecitizen.com/film-news/movie-review-food-inc-2-revisits-food-system-sees-reason-for-frustration-and-a-little-hope-8585521</v>
      </c>
      <c r="C1167" s="2" t="s">
        <v>2290</v>
      </c>
      <c r="D1167" s="3">
        <v>45393.697974537034</v>
      </c>
      <c r="E1167" s="2" t="s">
        <v>108</v>
      </c>
    </row>
    <row r="1168" spans="1:5" ht="70" x14ac:dyDescent="0.2">
      <c r="A1168" s="2" t="s">
        <v>621</v>
      </c>
      <c r="B1168" s="2" t="str">
        <f>HYPERLINK("https://www.piquenewsmagazine.com/the-mix/movie-review-food-inc-2-revisits-food-system-sees-reason-for-frustration-and-a-little-hope-8585503")</f>
        <v>https://www.piquenewsmagazine.com/the-mix/movie-review-food-inc-2-revisits-food-system-sees-reason-for-frustration-and-a-little-hope-8585503</v>
      </c>
      <c r="C1168" s="2" t="s">
        <v>2072</v>
      </c>
      <c r="D1168" s="3">
        <v>45393.69803240741</v>
      </c>
      <c r="E1168" s="2" t="s">
        <v>108</v>
      </c>
    </row>
    <row r="1169" spans="1:5" ht="70" x14ac:dyDescent="0.2">
      <c r="A1169" s="2" t="s">
        <v>621</v>
      </c>
      <c r="B1169" s="2" t="str">
        <f>HYPERLINK("https://www.piquenewsmagazine.com/film-news/movie-review-food-inc-2-revisits-food-system-sees-reason-for-frustration-and-a-little-hope-8585521")</f>
        <v>https://www.piquenewsmagazine.com/film-news/movie-review-food-inc-2-revisits-food-system-sees-reason-for-frustration-and-a-little-hope-8585521</v>
      </c>
      <c r="C1169" s="2" t="s">
        <v>2072</v>
      </c>
      <c r="D1169" s="3">
        <v>45393.69803240741</v>
      </c>
      <c r="E1169" s="2" t="s">
        <v>108</v>
      </c>
    </row>
    <row r="1170" spans="1:5" ht="70" x14ac:dyDescent="0.2">
      <c r="A1170" s="2" t="s">
        <v>621</v>
      </c>
      <c r="B1170" s="2" t="str">
        <f>HYPERLINK("https://www.delta-optimist.com/film-news/movie-review-food-inc-2-revisits-food-system-sees-reason-for-frustration-and-a-little-hope-8585521")</f>
        <v>https://www.delta-optimist.com/film-news/movie-review-food-inc-2-revisits-food-system-sees-reason-for-frustration-and-a-little-hope-8585521</v>
      </c>
      <c r="C1170" s="2" t="s">
        <v>2001</v>
      </c>
      <c r="D1170" s="3">
        <v>45393.698333333326</v>
      </c>
      <c r="E1170" s="2" t="s">
        <v>108</v>
      </c>
    </row>
    <row r="1171" spans="1:5" ht="70" x14ac:dyDescent="0.2">
      <c r="A1171" s="2" t="s">
        <v>621</v>
      </c>
      <c r="B1171" s="2" t="str">
        <f>HYPERLINK("https://www.delta-optimist.com/the-mix/movie-review-food-inc-2-revisits-food-system-sees-reason-for-frustration-and-a-little-hope-8585503")</f>
        <v>https://www.delta-optimist.com/the-mix/movie-review-food-inc-2-revisits-food-system-sees-reason-for-frustration-and-a-little-hope-8585503</v>
      </c>
      <c r="C1171" s="2" t="s">
        <v>2001</v>
      </c>
      <c r="D1171" s="3">
        <v>45393.698333333326</v>
      </c>
      <c r="E1171" s="2" t="s">
        <v>108</v>
      </c>
    </row>
    <row r="1172" spans="1:5" ht="70" x14ac:dyDescent="0.2">
      <c r="A1172" s="2" t="s">
        <v>621</v>
      </c>
      <c r="B1172" s="2" t="str">
        <f>HYPERLINK("https://www.sasktoday.ca/film-news/movie-review-food-inc-2-revisits-food-system-sees-reason-for-frustration-and-a-little-hope-8585521")</f>
        <v>https://www.sasktoday.ca/film-news/movie-review-food-inc-2-revisits-food-system-sees-reason-for-frustration-and-a-little-hope-8585521</v>
      </c>
      <c r="C1172" s="2" t="s">
        <v>2124</v>
      </c>
      <c r="D1172" s="3">
        <v>45393.698460648149</v>
      </c>
      <c r="E1172" s="2" t="s">
        <v>108</v>
      </c>
    </row>
    <row r="1173" spans="1:5" ht="84" x14ac:dyDescent="0.2">
      <c r="A1173" s="2" t="s">
        <v>621</v>
      </c>
      <c r="B1173" s="2" t="str">
        <f>HYPERLINK("https://santamariatimes.com/entertainment/movie-review-food-inc-2-revisits-food-system-sees-reason-for-frustration-and-a-little/article_795a4c20-b601-5600-8298-bf62c3c0f993.html")</f>
        <v>https://santamariatimes.com/entertainment/movie-review-food-inc-2-revisits-food-system-sees-reason-for-frustration-and-a-little/article_795a4c20-b601-5600-8298-bf62c3c0f993.html</v>
      </c>
      <c r="C1173" s="2" t="s">
        <v>1802</v>
      </c>
      <c r="D1173" s="3">
        <v>45393.700046296297</v>
      </c>
      <c r="E1173" s="2" t="s">
        <v>108</v>
      </c>
    </row>
    <row r="1174" spans="1:5" ht="70" x14ac:dyDescent="0.2">
      <c r="A1174" s="2" t="s">
        <v>621</v>
      </c>
      <c r="B1174" s="2" t="str">
        <f>HYPERLINK("https://newsconcerns.com/movie-review-food-inc-2-revisits-food-system-sees-reason-for-frustration-and-a-little-hope/")</f>
        <v>https://newsconcerns.com/movie-review-food-inc-2-revisits-food-system-sees-reason-for-frustration-and-a-little-hope/</v>
      </c>
      <c r="C1174" s="2" t="s">
        <v>625</v>
      </c>
      <c r="D1174" s="3">
        <v>45393.71020833333</v>
      </c>
      <c r="E1174" s="2" t="s">
        <v>626</v>
      </c>
    </row>
    <row r="1175" spans="1:5" ht="70" x14ac:dyDescent="0.2">
      <c r="A1175" s="2" t="s">
        <v>621</v>
      </c>
      <c r="B1175" s="2" t="str">
        <f>HYPERLINK("https://www.enterprise-tocsin.com/movie-review-food-inc-2-revisits-food-system-sees-reason-frustration-and-little-hope-0")</f>
        <v>https://www.enterprise-tocsin.com/movie-review-food-inc-2-revisits-food-system-sees-reason-frustration-and-little-hope-0</v>
      </c>
      <c r="C1175" s="2" t="s">
        <v>769</v>
      </c>
      <c r="D1175" s="3">
        <v>45393.72084490741</v>
      </c>
      <c r="E1175" s="2" t="s">
        <v>108</v>
      </c>
    </row>
    <row r="1176" spans="1:5" ht="84" x14ac:dyDescent="0.2">
      <c r="A1176" s="2" t="s">
        <v>621</v>
      </c>
      <c r="B1176" s="2" t="str">
        <f>HYPERLINK("https://portal.mygrande.com/news/read/article/the_associated_press-movie_review_food_inc_2_revisits_food_system_sees-ap/vendor/The%20Associated%20Press")</f>
        <v>https://portal.mygrande.com/news/read/article/the_associated_press-movie_review_food_inc_2_revisits_food_system_sees-ap/vendor/The%20Associated%20Press</v>
      </c>
      <c r="C1176" s="2" t="s">
        <v>3978</v>
      </c>
      <c r="D1176" s="3">
        <v>45393.723541666674</v>
      </c>
      <c r="E1176" s="2" t="s">
        <v>1152</v>
      </c>
    </row>
    <row r="1177" spans="1:5" ht="84" x14ac:dyDescent="0.2">
      <c r="A1177" s="2" t="s">
        <v>621</v>
      </c>
      <c r="B1177" s="2" t="str">
        <f>HYPERLINK("https://my.gvtc.com/news/read/article/the_associated_press-movie_review_food_inc_2_revisits_food_system_sees-ap/vendor/The%20Associated%20Press")</f>
        <v>https://my.gvtc.com/news/read/article/the_associated_press-movie_review_food_inc_2_revisits_food_system_sees-ap/vendor/The%20Associated%20Press</v>
      </c>
      <c r="C1177" s="2" t="s">
        <v>1151</v>
      </c>
      <c r="D1177" s="3">
        <v>45393.726909722223</v>
      </c>
      <c r="E1177" s="2" t="s">
        <v>1152</v>
      </c>
    </row>
    <row r="1178" spans="1:5" ht="84" x14ac:dyDescent="0.2">
      <c r="A1178" s="2" t="s">
        <v>621</v>
      </c>
      <c r="B1178" s="2" t="str">
        <f>HYPERLINK("https://centurylink.net/news/read/article/the_associated_press-movie_review_food_inc_2_revisits_food_system_sees-ap/vendor/The%20Associated%20Press")</f>
        <v>https://centurylink.net/news/read/article/the_associated_press-movie_review_food_inc_2_revisits_food_system_sees-ap/vendor/The%20Associated%20Press</v>
      </c>
      <c r="C1178" s="2" t="s">
        <v>2680</v>
      </c>
      <c r="D1178" s="3">
        <v>45393.728113425917</v>
      </c>
      <c r="E1178" s="2" t="s">
        <v>1152</v>
      </c>
    </row>
    <row r="1179" spans="1:5" ht="84" x14ac:dyDescent="0.2">
      <c r="A1179" s="2" t="s">
        <v>621</v>
      </c>
      <c r="B1179" s="2" t="str">
        <f>HYPERLINK("https://portal.tds.net/news/read/article/the_associated_press-movie_review_food_inc_2_revisits_food_system_sees-ap/vendor/The%20Associated%20Press")</f>
        <v>https://portal.tds.net/news/read/article/the_associated_press-movie_review_food_inc_2_revisits_food_system_sees-ap/vendor/The%20Associated%20Press</v>
      </c>
      <c r="C1179" s="2" t="s">
        <v>2084</v>
      </c>
      <c r="D1179" s="3">
        <v>45393.730763888889</v>
      </c>
      <c r="E1179" s="2" t="s">
        <v>1152</v>
      </c>
    </row>
    <row r="1180" spans="1:5" ht="84" x14ac:dyDescent="0.2">
      <c r="A1180" s="2" t="s">
        <v>621</v>
      </c>
      <c r="B1180" s="2" t="str">
        <f>HYPERLINK("https://wowway.net/news/read/article/the_associated_press-movie_review_food_inc_2_revisits_food_system_sees-ap/vendor/The%20Associated%20Press")</f>
        <v>https://wowway.net/news/read/article/the_associated_press-movie_review_food_inc_2_revisits_food_system_sees-ap/vendor/The%20Associated%20Press</v>
      </c>
      <c r="C1180" s="2" t="s">
        <v>1917</v>
      </c>
      <c r="D1180" s="3">
        <v>45393.731168981481</v>
      </c>
      <c r="E1180" s="2" t="s">
        <v>1152</v>
      </c>
    </row>
    <row r="1181" spans="1:5" ht="84" x14ac:dyDescent="0.2">
      <c r="A1181" s="2" t="s">
        <v>621</v>
      </c>
      <c r="B1181" s="2" t="str">
        <f>HYPERLINK("https://searchandnews.com/news/read/article/the_associated_press-movie_review_food_inc_2_revisits_food_system_sees-ap/vendor/The%20Associated%20Press")</f>
        <v>https://searchandnews.com/news/read/article/the_associated_press-movie_review_food_inc_2_revisits_food_system_sees-ap/vendor/The%20Associated%20Press</v>
      </c>
      <c r="C1181" s="2" t="s">
        <v>1252</v>
      </c>
      <c r="D1181" s="3">
        <v>45393.731759259259</v>
      </c>
      <c r="E1181" s="2" t="s">
        <v>1152</v>
      </c>
    </row>
    <row r="1182" spans="1:5" ht="70" x14ac:dyDescent="0.2">
      <c r="A1182" s="2" t="s">
        <v>2647</v>
      </c>
      <c r="B1182" s="2" t="str">
        <f>HYPERLINK("https://13wham.com/news/entertainment/movie-review-food-inc-2-revisits-food-system-sees-reason-for-frustration")</f>
        <v>https://13wham.com/news/entertainment/movie-review-food-inc-2-revisits-food-system-sees-reason-for-frustration</v>
      </c>
      <c r="C1182" s="2" t="s">
        <v>2646</v>
      </c>
      <c r="D1182" s="3">
        <v>45393.737384259257</v>
      </c>
      <c r="E1182" s="2" t="s">
        <v>626</v>
      </c>
    </row>
    <row r="1183" spans="1:5" ht="70" x14ac:dyDescent="0.2">
      <c r="A1183" s="2" t="s">
        <v>621</v>
      </c>
      <c r="B1183" s="2" t="str">
        <f>HYPERLINK("https://www.ddtonline.com/movie-review-food-inc-2-revisits-food-system-sees-reason-frustration-and-little-hope")</f>
        <v>https://www.ddtonline.com/movie-review-food-inc-2-revisits-food-system-sees-reason-frustration-and-little-hope</v>
      </c>
      <c r="C1183" s="2" t="s">
        <v>718</v>
      </c>
      <c r="D1183" s="3">
        <v>45393.757604166669</v>
      </c>
      <c r="E1183" s="2" t="s">
        <v>108</v>
      </c>
    </row>
    <row r="1184" spans="1:5" ht="84" x14ac:dyDescent="0.2">
      <c r="A1184" s="2" t="s">
        <v>621</v>
      </c>
      <c r="B1184" s="2" t="str">
        <f>HYPERLINK("https://www.armstrongmywire.com/news/read/article/the_associated_press-movie_review_food_inc_2_revisits_food_system_sees-ap/vendor/The%20Associated%20Press")</f>
        <v>https://www.armstrongmywire.com/news/read/article/the_associated_press-movie_review_food_inc_2_revisits_food_system_sees-ap/vendor/The%20Associated%20Press</v>
      </c>
      <c r="C1184" s="2" t="s">
        <v>2145</v>
      </c>
      <c r="D1184" s="3">
        <v>45393.796458333331</v>
      </c>
      <c r="E1184" s="2" t="s">
        <v>1152</v>
      </c>
    </row>
    <row r="1185" spans="1:5" ht="84" x14ac:dyDescent="0.2">
      <c r="A1185" s="2" t="s">
        <v>621</v>
      </c>
      <c r="B1185" s="2" t="str">
        <f>HYPERLINK("https://www.windstream.net/news/read/article/the_associated_press-movie_review_food_inc_2_revisits_food_system_sees-ap/vendor/The%20Associated%20Press")</f>
        <v>https://www.windstream.net/news/read/article/the_associated_press-movie_review_food_inc_2_revisits_food_system_sees-ap/vendor/The%20Associated%20Press</v>
      </c>
      <c r="C1185" s="2" t="s">
        <v>2260</v>
      </c>
      <c r="D1185" s="3">
        <v>45393.799178240741</v>
      </c>
      <c r="E1185" s="2" t="s">
        <v>1152</v>
      </c>
    </row>
    <row r="1186" spans="1:5" ht="70" x14ac:dyDescent="0.2">
      <c r="A1186" s="2" t="s">
        <v>621</v>
      </c>
      <c r="B1186" s="2" t="str">
        <f>HYPERLINK("https://www.newtoncountyappeal.com/movie-review-food-inc-2-revisits-food-system-sees-reason-frustration-and-little-hope-0")</f>
        <v>https://www.newtoncountyappeal.com/movie-review-food-inc-2-revisits-food-system-sees-reason-frustration-and-little-hope-0</v>
      </c>
      <c r="C1186" s="2" t="s">
        <v>895</v>
      </c>
      <c r="D1186" s="3">
        <v>45393.812152777777</v>
      </c>
      <c r="E1186" s="2" t="s">
        <v>108</v>
      </c>
    </row>
    <row r="1187" spans="1:5" ht="84" x14ac:dyDescent="0.2">
      <c r="A1187" s="2" t="s">
        <v>621</v>
      </c>
      <c r="B1187" s="2" t="str">
        <f>HYPERLINK("https://www.hawaiiantel.net/news/read/article/the_associated_press-movie_review_food_inc_2_revisits_food_system_sees-ap/vendor/The%20Associated%20Press")</f>
        <v>https://www.hawaiiantel.net/news/read/article/the_associated_press-movie_review_food_inc_2_revisits_food_system_sees-ap/vendor/The%20Associated%20Press</v>
      </c>
      <c r="C1187" s="2" t="s">
        <v>4049</v>
      </c>
      <c r="D1187" s="3">
        <v>45393.818692129629</v>
      </c>
      <c r="E1187" s="2" t="s">
        <v>1152</v>
      </c>
    </row>
    <row r="1188" spans="1:5" ht="42" x14ac:dyDescent="0.2">
      <c r="A1188" s="2" t="s">
        <v>51</v>
      </c>
      <c r="B1188" s="2" t="str">
        <f>HYPERLINK("https://bitebi.com/fruit-juices-a-worry/")</f>
        <v>https://bitebi.com/fruit-juices-a-worry/</v>
      </c>
      <c r="C1188" s="2" t="s">
        <v>15</v>
      </c>
      <c r="D1188" s="3">
        <v>45393.858252314807</v>
      </c>
      <c r="E1188" s="2" t="s">
        <v>25</v>
      </c>
    </row>
    <row r="1189" spans="1:5" ht="70" x14ac:dyDescent="0.2">
      <c r="A1189" s="2" t="s">
        <v>2649</v>
      </c>
      <c r="B1189" s="2" t="str">
        <f>HYPERLINK("https://headtopics.com/us/the-makers-of-food-inc-release-sequel-documentary-50736577")</f>
        <v>https://headtopics.com/us/the-makers-of-food-inc-release-sequel-documentary-50736577</v>
      </c>
      <c r="C1189" s="2" t="s">
        <v>2534</v>
      </c>
      <c r="D1189" s="3">
        <v>45393.933333333327</v>
      </c>
      <c r="E1189" s="2" t="s">
        <v>626</v>
      </c>
    </row>
    <row r="1190" spans="1:5" ht="70" x14ac:dyDescent="0.2">
      <c r="A1190" s="2" t="s">
        <v>2331</v>
      </c>
      <c r="B1190" s="2" t="str">
        <f>HYPERLINK("https://lifestyle.livemint.com/food/discover/food-inc-2-documentary-two-111712893372294.html")</f>
        <v>https://lifestyle.livemint.com/food/discover/food-inc-2-documentary-two-111712893372294.html</v>
      </c>
      <c r="C1190" s="2" t="s">
        <v>2332</v>
      </c>
      <c r="D1190" s="3">
        <v>45394.211712962962</v>
      </c>
      <c r="E1190" s="2" t="s">
        <v>108</v>
      </c>
    </row>
    <row r="1191" spans="1:5" ht="70" x14ac:dyDescent="0.2">
      <c r="A1191" s="2" t="s">
        <v>1517</v>
      </c>
      <c r="B1191" s="2" t="str">
        <f>HYPERLINK("https://www.shootonline.com/news/review-food-inc-2-directors-robert-kenner-and-melissa-robledo")</f>
        <v>https://www.shootonline.com/news/review-food-inc-2-directors-robert-kenner-and-melissa-robledo</v>
      </c>
      <c r="C1191" s="2" t="s">
        <v>1518</v>
      </c>
      <c r="D1191" s="3">
        <v>45394.223032407397</v>
      </c>
      <c r="E1191" s="2" t="s">
        <v>1519</v>
      </c>
    </row>
    <row r="1192" spans="1:5" ht="84" x14ac:dyDescent="0.2">
      <c r="A1192" s="2" t="s">
        <v>51</v>
      </c>
      <c r="B1192" s="2" t="str">
        <f>HYPERLINK("https://bitebi.com/weekend-reading-the-good-eater/")</f>
        <v>https://bitebi.com/weekend-reading-the-good-eater/</v>
      </c>
      <c r="C1192" s="2" t="s">
        <v>15</v>
      </c>
      <c r="D1192" s="3">
        <v>45394.405740740738</v>
      </c>
      <c r="E1192" s="2" t="s">
        <v>164</v>
      </c>
    </row>
    <row r="1193" spans="1:5" ht="98" x14ac:dyDescent="0.2">
      <c r="A1193" s="2" t="s">
        <v>3220</v>
      </c>
      <c r="B1193" s="2" t="str">
        <f>HYPERLINK("https://seppi.over-blog.com/2024/04/nutri-score-la-promotion-par-le-mensonge-ici-aux-usa.html")</f>
        <v>https://seppi.over-blog.com/2024/04/nutri-score-la-promotion-par-le-mensonge-ici-aux-usa.html</v>
      </c>
      <c r="C1193" s="2" t="s">
        <v>3221</v>
      </c>
      <c r="D1193" s="3">
        <v>45395.087141203701</v>
      </c>
      <c r="E1193" s="2" t="s">
        <v>3222</v>
      </c>
    </row>
    <row r="1194" spans="1:5" ht="70" x14ac:dyDescent="0.2">
      <c r="A1194" s="2" t="s">
        <v>621</v>
      </c>
      <c r="B1194" s="2" t="str">
        <f>HYPERLINK("https://headtopics.com/us/movie-review-food-inc-2-revisits-food-system-sees-50809759")</f>
        <v>https://headtopics.com/us/movie-review-food-inc-2-revisits-food-system-sees-50809759</v>
      </c>
      <c r="C1194" s="2" t="s">
        <v>2534</v>
      </c>
      <c r="D1194" s="3">
        <v>45395.447222222218</v>
      </c>
      <c r="E1194" s="2" t="s">
        <v>626</v>
      </c>
    </row>
    <row r="1195" spans="1:5" ht="70" x14ac:dyDescent="0.2">
      <c r="A1195" s="2" t="s">
        <v>822</v>
      </c>
      <c r="B1195" s="2" t="str">
        <f>HYPERLINK("https://health-reporter.news/do-diets-really-work-chasing-life-with-dr-sanjay-gupta/")</f>
        <v>https://health-reporter.news/do-diets-really-work-chasing-life-with-dr-sanjay-gupta/</v>
      </c>
      <c r="C1195" s="2" t="s">
        <v>222</v>
      </c>
      <c r="D1195" s="3">
        <v>45395.99491898148</v>
      </c>
      <c r="E1195" s="2" t="s">
        <v>823</v>
      </c>
    </row>
    <row r="1196" spans="1:5" ht="70" x14ac:dyDescent="0.2">
      <c r="A1196" s="2" t="s">
        <v>1634</v>
      </c>
      <c r="B1196" s="2" t="str">
        <f>HYPERLINK("https://www.normantranscript.com/community/food-inc-2-revisits-food-system-sees-reason-for-frustration-and-a-little-hope/article_1b24dcb2-f82f-11ee-acae-178be590e20a.html")</f>
        <v>https://www.normantranscript.com/community/food-inc-2-revisits-food-system-sees-reason-for-frustration-and-a-little-hope/article_1b24dcb2-f82f-11ee-acae-178be590e20a.html</v>
      </c>
      <c r="C1196" s="2" t="s">
        <v>1882</v>
      </c>
      <c r="D1196" s="3">
        <v>45396.120462962957</v>
      </c>
      <c r="E1196" s="2" t="s">
        <v>626</v>
      </c>
    </row>
    <row r="1197" spans="1:5" ht="70" x14ac:dyDescent="0.2">
      <c r="A1197" s="2" t="s">
        <v>621</v>
      </c>
      <c r="B1197" s="2" t="str">
        <f>HYPERLINK("https://www.nwitimes.com/movie-review-food-inc-2-revisits-food-system-sees-reason-for-frustration-and-a-little/article_e2021252-f931-11ee-becd-771752ec0197.html")</f>
        <v>https://www.nwitimes.com/movie-review-food-inc-2-revisits-food-system-sees-reason-for-frustration-and-a-little/article_e2021252-f931-11ee-becd-771752ec0197.html</v>
      </c>
      <c r="C1197" s="2" t="s">
        <v>2454</v>
      </c>
      <c r="D1197" s="3">
        <v>45396.941851851851</v>
      </c>
      <c r="E1197" s="2" t="s">
        <v>108</v>
      </c>
    </row>
    <row r="1198" spans="1:5" ht="70" x14ac:dyDescent="0.2">
      <c r="A1198" s="2" t="s">
        <v>621</v>
      </c>
      <c r="B1198" s="2" t="str">
        <f>HYPERLINK("https://www.northsidesun.com/movie-review-food-inc-2-revisits-food-system-sees-reason-frustration-and-little-hope")</f>
        <v>https://www.northsidesun.com/movie-review-food-inc-2-revisits-food-system-sees-reason-frustration-and-little-hope</v>
      </c>
      <c r="C1198" s="2" t="s">
        <v>968</v>
      </c>
      <c r="D1198" s="3">
        <v>45397.780173611107</v>
      </c>
      <c r="E1198" s="2" t="s">
        <v>108</v>
      </c>
    </row>
    <row r="1199" spans="1:5" ht="84" x14ac:dyDescent="0.2">
      <c r="A1199" s="2" t="s">
        <v>2425</v>
      </c>
      <c r="B1199" s="2" t="str">
        <f>HYPERLINK("https://missionlocal.org/event/mannys-book-launch-party-for-the-good-eater/")</f>
        <v>https://missionlocal.org/event/mannys-book-launch-party-for-the-good-eater/</v>
      </c>
      <c r="C1199" s="2" t="s">
        <v>2426</v>
      </c>
      <c r="D1199" s="3">
        <v>45398</v>
      </c>
      <c r="E1199" s="2" t="s">
        <v>2427</v>
      </c>
    </row>
    <row r="1200" spans="1:5" ht="56" x14ac:dyDescent="0.2">
      <c r="A1200" s="2" t="s">
        <v>566</v>
      </c>
      <c r="B1200" s="2" t="str">
        <f>HYPERLINK("https://www.morningagclips.com/marion-nestle-to-discuss-food-politics-in-wolitzer-seminar/")</f>
        <v>https://www.morningagclips.com/marion-nestle-to-discuss-food-politics-in-wolitzer-seminar/</v>
      </c>
      <c r="C1200" s="2" t="s">
        <v>1720</v>
      </c>
      <c r="D1200" s="3">
        <v>45398.326655092591</v>
      </c>
      <c r="E1200" s="2" t="s">
        <v>1721</v>
      </c>
    </row>
    <row r="1201" spans="1:5" ht="84" x14ac:dyDescent="0.2">
      <c r="A1201" s="2" t="s">
        <v>566</v>
      </c>
      <c r="B1201" s="2" t="str">
        <f>HYPERLINK("https://smallnews.in/fmcg/2024/04/16/marion-nestle-to-discuss-food-politics-in-wolitzer-seminar-2/")</f>
        <v>https://smallnews.in/fmcg/2024/04/16/marion-nestle-to-discuss-food-politics-in-wolitzer-seminar-2/</v>
      </c>
      <c r="C1201" s="2" t="s">
        <v>564</v>
      </c>
      <c r="D1201" s="3">
        <v>45398.347939814812</v>
      </c>
      <c r="E1201" s="2" t="s">
        <v>567</v>
      </c>
    </row>
    <row r="1202" spans="1:5" ht="70" x14ac:dyDescent="0.2">
      <c r="A1202" s="2" t="s">
        <v>621</v>
      </c>
      <c r="B1202" s="2" t="str">
        <f>HYPERLINK("https://www.gettysburgtimes.com/life_entertainment/entertainment/article_9d2b50e9-1fce-56f7-b1f7-739e96456c34.html")</f>
        <v>https://www.gettysburgtimes.com/life_entertainment/entertainment/article_9d2b50e9-1fce-56f7-b1f7-739e96456c34.html</v>
      </c>
      <c r="C1202" s="2" t="s">
        <v>1672</v>
      </c>
      <c r="D1202" s="3">
        <v>45398.595925925933</v>
      </c>
      <c r="E1202" s="2" t="s">
        <v>108</v>
      </c>
    </row>
    <row r="1203" spans="1:5" ht="70" x14ac:dyDescent="0.2">
      <c r="A1203" s="2" t="s">
        <v>1071</v>
      </c>
      <c r="B1203" s="2" t="str">
        <f>HYPERLINK("https://newsexplorer.net/is-it-safe-to-eat-eggs-chicken-or-dairy-during-the-bird-flu-outbreak-s2422831.html")</f>
        <v>https://newsexplorer.net/is-it-safe-to-eat-eggs-chicken-or-dairy-during-the-bird-flu-outbreak-s2422831.html</v>
      </c>
      <c r="C1203" s="2" t="s">
        <v>1067</v>
      </c>
      <c r="D1203" s="3">
        <v>45399.016481481478</v>
      </c>
      <c r="E1203" s="2" t="s">
        <v>1072</v>
      </c>
    </row>
    <row r="1204" spans="1:5" ht="70" x14ac:dyDescent="0.2">
      <c r="A1204" s="2" t="s">
        <v>1071</v>
      </c>
      <c r="B1204" s="2" t="str">
        <f>HYPERLINK("https://vnexplorer.net/is-it-safe-to-eat-eggs-chicken-or-dairy-during-the-bird-flu-outbreak-s2422831.html")</f>
        <v>https://vnexplorer.net/is-it-safe-to-eat-eggs-chicken-or-dairy-during-the-bird-flu-outbreak-s2422831.html</v>
      </c>
      <c r="C1204" s="2" t="s">
        <v>1334</v>
      </c>
      <c r="D1204" s="3">
        <v>45399.016481481478</v>
      </c>
      <c r="E1204" s="2" t="s">
        <v>1072</v>
      </c>
    </row>
    <row r="1205" spans="1:5" ht="70" x14ac:dyDescent="0.2">
      <c r="A1205" s="2" t="s">
        <v>107</v>
      </c>
      <c r="B1205" s="2" t="str">
        <f>HYPERLINK("https://www.telegraphherald.com/news/features/article_483c56be-ac5d-5c71-b4d5-b8fc368663b6.html")</f>
        <v>https://www.telegraphherald.com/news/features/article_483c56be-ac5d-5c71-b4d5-b8fc368663b6.html</v>
      </c>
      <c r="C1205" s="2" t="s">
        <v>2141</v>
      </c>
      <c r="D1205" s="3">
        <v>45399.06821759259</v>
      </c>
      <c r="E1205" s="2" t="s">
        <v>2142</v>
      </c>
    </row>
    <row r="1206" spans="1:5" ht="70" x14ac:dyDescent="0.2">
      <c r="A1206" s="2" t="s">
        <v>1071</v>
      </c>
      <c r="B1206" s="2" t="str">
        <f>HYPERLINK("https://www.yahoo.com/news/safe-eat-eggs-chicken-dairy-191236622.html")</f>
        <v>https://www.yahoo.com/news/safe-eat-eggs-chicken-dairy-191236622.html</v>
      </c>
      <c r="C1206" s="2" t="s">
        <v>3728</v>
      </c>
      <c r="D1206" s="3">
        <v>45399.633750000001</v>
      </c>
      <c r="E1206" s="2" t="s">
        <v>3727</v>
      </c>
    </row>
    <row r="1207" spans="1:5" ht="70" x14ac:dyDescent="0.2">
      <c r="A1207" s="2" t="s">
        <v>1071</v>
      </c>
      <c r="B1207" s="2" t="str">
        <f>HYPERLINK("https://www.yahoo.com/lifestyle/safe-eat-eggs-chicken-dairy-191236622.html")</f>
        <v>https://www.yahoo.com/lifestyle/safe-eat-eggs-chicken-dairy-191236622.html</v>
      </c>
      <c r="C1207" s="2" t="s">
        <v>3726</v>
      </c>
      <c r="D1207" s="3">
        <v>45399.637916666667</v>
      </c>
      <c r="E1207" s="2" t="s">
        <v>3727</v>
      </c>
    </row>
    <row r="1208" spans="1:5" ht="70" x14ac:dyDescent="0.2">
      <c r="A1208" s="2" t="s">
        <v>1071</v>
      </c>
      <c r="B1208" s="2" t="str">
        <f>HYPERLINK("https://www.eatingwell.com/is-it-safe-to-eat-eggs-chicken-or-dairy-during-bird-flu-outbreak-8635035")</f>
        <v>https://www.eatingwell.com/is-it-safe-to-eat-eggs-chicken-or-dairy-during-bird-flu-outbreak-8635035</v>
      </c>
      <c r="C1208" s="2" t="s">
        <v>3519</v>
      </c>
      <c r="D1208" s="3">
        <v>45399.639664351853</v>
      </c>
      <c r="E1208" s="2" t="s">
        <v>1072</v>
      </c>
    </row>
    <row r="1209" spans="1:5" ht="84" x14ac:dyDescent="0.2">
      <c r="A1209" s="2" t="s">
        <v>2756</v>
      </c>
      <c r="B1209" s="2" t="str">
        <f>HYPERLINK("https://www.bigissue.com/news/politics/sunak-smoking-ban-bill-vote-freedom-public-health/")</f>
        <v>https://www.bigissue.com/news/politics/sunak-smoking-ban-bill-vote-freedom-public-health/</v>
      </c>
      <c r="C1209" s="2" t="s">
        <v>2757</v>
      </c>
      <c r="D1209" s="3">
        <v>45400.051342592589</v>
      </c>
      <c r="E1209" s="2" t="s">
        <v>2758</v>
      </c>
    </row>
    <row r="1210" spans="1:5" ht="84" x14ac:dyDescent="0.2">
      <c r="A1210" s="2" t="s">
        <v>1501</v>
      </c>
      <c r="B1210" s="2" t="str">
        <f>HYPERLINK("https://time.news/yogurt-as-an-ally-against-type-2-diabetes-what-the-experts-say-2024-04-18-124217/")</f>
        <v>https://time.news/yogurt-as-an-ally-against-type-2-diabetes-what-the-experts-say-2024-04-18-124217/</v>
      </c>
      <c r="C1210" s="2" t="s">
        <v>1497</v>
      </c>
      <c r="D1210" s="3">
        <v>45400.367569444446</v>
      </c>
      <c r="E1210" s="2" t="s">
        <v>676</v>
      </c>
    </row>
    <row r="1211" spans="1:5" ht="84" x14ac:dyDescent="0.2">
      <c r="A1211" s="2" t="s">
        <v>675</v>
      </c>
      <c r="B1211" s="2" t="str">
        <f>HYPERLINK("https://www.newsylist.com/yogurt-as-an-ally-against-type-2-diabetes-what-the-experts-say-2024-04-18-124217/")</f>
        <v>https://www.newsylist.com/yogurt-as-an-ally-against-type-2-diabetes-what-the-experts-say-2024-04-18-124217/</v>
      </c>
      <c r="C1211" s="2" t="s">
        <v>670</v>
      </c>
      <c r="D1211" s="3">
        <v>45400.420648148152</v>
      </c>
      <c r="E1211" s="2" t="s">
        <v>676</v>
      </c>
    </row>
    <row r="1212" spans="1:5" ht="84" x14ac:dyDescent="0.2">
      <c r="A1212" s="2" t="s">
        <v>303</v>
      </c>
      <c r="B1212" s="2" t="str">
        <f>HYPERLINK("https://www.cocottes-magazine.fr/est-il-prudent-de-manger-des-oeufs-du-poulet-ou-des-produits-laitiers-pendant-lepidemie-de-grippe-aviaire/")</f>
        <v>https://www.cocottes-magazine.fr/est-il-prudent-de-manger-des-oeufs-du-poulet-ou-des-produits-laitiers-pendant-lepidemie-de-grippe-aviaire/</v>
      </c>
      <c r="C1212" s="2" t="s">
        <v>301</v>
      </c>
      <c r="D1212" s="3">
        <v>45400.640625</v>
      </c>
      <c r="E1212" s="2" t="s">
        <v>302</v>
      </c>
    </row>
    <row r="1213" spans="1:5" ht="70" x14ac:dyDescent="0.2">
      <c r="A1213" s="2" t="s">
        <v>109</v>
      </c>
      <c r="B1213" s="2" t="str">
        <f>HYPERLINK("https://bitebi.com/weekend-reading-eric-schlosser-on-our-cartel-food-system/")</f>
        <v>https://bitebi.com/weekend-reading-eric-schlosser-on-our-cartel-food-system/</v>
      </c>
      <c r="C1213" s="2" t="s">
        <v>15</v>
      </c>
      <c r="D1213" s="3">
        <v>45401.449814814812</v>
      </c>
      <c r="E1213" s="2" t="s">
        <v>110</v>
      </c>
    </row>
    <row r="1214" spans="1:5" ht="98" x14ac:dyDescent="0.2">
      <c r="A1214" s="2" t="s">
        <v>2955</v>
      </c>
      <c r="B1214" s="2" t="str">
        <f>HYPERLINK("https://www.ivoox.com/en/foodniche-changemakers-perspectives-on-the-past-present-amp-audios-mp3_rf_127793546_1.html")</f>
        <v>https://www.ivoox.com/en/foodniche-changemakers-perspectives-on-the-past-present-amp-audios-mp3_rf_127793546_1.html</v>
      </c>
      <c r="C1214" s="2" t="s">
        <v>2956</v>
      </c>
      <c r="D1214" s="3">
        <v>45401.893113425933</v>
      </c>
      <c r="E1214" s="2" t="s">
        <v>2957</v>
      </c>
    </row>
    <row r="1215" spans="1:5" ht="56" x14ac:dyDescent="0.2">
      <c r="A1215" s="2" t="s">
        <v>1575</v>
      </c>
      <c r="B1215" s="2" t="str">
        <f>HYPERLINK("https://resident.com/interviews/2024/04/20/nourishing-change-katherine-bouluds-culinary-crusade-with-spoons-across-america")</f>
        <v>https://resident.com/interviews/2024/04/20/nourishing-change-katherine-bouluds-culinary-crusade-with-spoons-across-america</v>
      </c>
      <c r="C1215" s="2" t="s">
        <v>1576</v>
      </c>
      <c r="D1215" s="3">
        <v>45402.660393518519</v>
      </c>
      <c r="E1215" s="2" t="s">
        <v>1577</v>
      </c>
    </row>
    <row r="1216" spans="1:5" ht="56" x14ac:dyDescent="0.2">
      <c r="A1216" s="2" t="s">
        <v>93</v>
      </c>
      <c r="B1216" s="2" t="str">
        <f>HYPERLINK("https://bitebi.com/industry-funded-study-of-the-week-prunes/")</f>
        <v>https://bitebi.com/industry-funded-study-of-the-week-prunes/</v>
      </c>
      <c r="C1216" s="2" t="s">
        <v>15</v>
      </c>
      <c r="D1216" s="3">
        <v>45404.652222222219</v>
      </c>
      <c r="E1216" s="2" t="s">
        <v>94</v>
      </c>
    </row>
    <row r="1217" spans="1:5" ht="56" x14ac:dyDescent="0.2">
      <c r="A1217" s="2" t="s">
        <v>3082</v>
      </c>
      <c r="B1217" s="2" t="str">
        <f>HYPERLINK("https://www.tallahassee.com/story/life/wellness/2024/04/23/case-against-lunchables-ultra-processed-junk-food-poses-risks/73389340007/")</f>
        <v>https://www.tallahassee.com/story/life/wellness/2024/04/23/case-against-lunchables-ultra-processed-junk-food-poses-risks/73389340007/</v>
      </c>
      <c r="C1217" s="2" t="s">
        <v>3083</v>
      </c>
      <c r="D1217" s="3">
        <v>45405.21503472222</v>
      </c>
      <c r="E1217" s="2" t="s">
        <v>3084</v>
      </c>
    </row>
    <row r="1218" spans="1:5" ht="56" x14ac:dyDescent="0.2">
      <c r="A1218" s="2" t="s">
        <v>3571</v>
      </c>
      <c r="B1218" s="2" t="str">
        <f>HYPERLINK("https://www.bloomberg.com/news/articles/2024-04-23/doritos-and-oreos-for-dinner-big-junk-food-steps-up-its-push")</f>
        <v>https://www.bloomberg.com/news/articles/2024-04-23/doritos-and-oreos-for-dinner-big-junk-food-steps-up-its-push</v>
      </c>
      <c r="C1218" s="2" t="s">
        <v>3572</v>
      </c>
      <c r="D1218" s="3">
        <v>45405.33353009259</v>
      </c>
      <c r="E1218" s="2" t="s">
        <v>2312</v>
      </c>
    </row>
    <row r="1219" spans="1:5" ht="56" x14ac:dyDescent="0.2">
      <c r="A1219" s="2" t="s">
        <v>3082</v>
      </c>
      <c r="B1219" s="2" t="str">
        <f>HYPERLINK("https://www.newsbreak.com/news/3412419112485-the-case-against-lunchables-ultra-processed-food-poses-risks-for-kids-mark-mahoney")</f>
        <v>https://www.newsbreak.com/news/3412419112485-the-case-against-lunchables-ultra-processed-food-poses-risks-for-kids-mark-mahoney</v>
      </c>
      <c r="C1219" s="2" t="s">
        <v>3461</v>
      </c>
      <c r="D1219" s="3">
        <v>45405.381701388891</v>
      </c>
      <c r="E1219" s="2" t="s">
        <v>3084</v>
      </c>
    </row>
    <row r="1220" spans="1:5" ht="70" x14ac:dyDescent="0.2">
      <c r="A1220" s="2" t="s">
        <v>2578</v>
      </c>
      <c r="B1220" s="2" t="str">
        <f>HYPERLINK("https://www.inkl.com/news/coke-pepsi-or-organic-blueberry-eye-catching-better-for-you-sodas-reignite-the-cola-wars")</f>
        <v>https://www.inkl.com/news/coke-pepsi-or-organic-blueberry-eye-catching-better-for-you-sodas-reignite-the-cola-wars</v>
      </c>
      <c r="C1220" s="2" t="s">
        <v>2569</v>
      </c>
      <c r="D1220" s="3">
        <v>45406.186111111107</v>
      </c>
      <c r="E1220" s="2" t="s">
        <v>2579</v>
      </c>
    </row>
    <row r="1221" spans="1:5" ht="70" x14ac:dyDescent="0.2">
      <c r="A1221" s="2" t="s">
        <v>2578</v>
      </c>
      <c r="B1221" s="2" t="str">
        <f>HYPERLINK("https://www.axios.com/2024/04/24/coke-pepsi-sodas-olipop-poppi-zevia-dr-pepper-sprite-cola-diet")</f>
        <v>https://www.axios.com/2024/04/24/coke-pepsi-sodas-olipop-poppi-zevia-dr-pepper-sprite-cola-diet</v>
      </c>
      <c r="C1221" s="2" t="s">
        <v>3500</v>
      </c>
      <c r="D1221" s="3">
        <v>45406.191736111112</v>
      </c>
      <c r="E1221" s="2" t="s">
        <v>2579</v>
      </c>
    </row>
    <row r="1222" spans="1:5" ht="56" x14ac:dyDescent="0.2">
      <c r="A1222" s="2" t="s">
        <v>2310</v>
      </c>
      <c r="B1222" s="2" t="str">
        <f>HYPERLINK("https://www.biznews.com/health/2024/04/24/ultra-processed-foods")</f>
        <v>https://www.biznews.com/health/2024/04/24/ultra-processed-foods</v>
      </c>
      <c r="C1222" s="2" t="s">
        <v>2311</v>
      </c>
      <c r="D1222" s="3">
        <v>45406.273217592592</v>
      </c>
      <c r="E1222" s="2" t="s">
        <v>2312</v>
      </c>
    </row>
    <row r="1223" spans="1:5" ht="70" x14ac:dyDescent="0.2">
      <c r="A1223" s="2" t="s">
        <v>4032</v>
      </c>
      <c r="B1223" s="2" t="str">
        <f>HYPERLINK("https://wherethefoodcomesfrom.com/fact-check-prunes-prevent-bone-loss-in-postmenopausal-women/")</f>
        <v>https://wherethefoodcomesfrom.com/fact-check-prunes-prevent-bone-loss-in-postmenopausal-women/</v>
      </c>
      <c r="C1223" s="2" t="s">
        <v>3746</v>
      </c>
      <c r="D1223" s="3">
        <v>45406.530740740738</v>
      </c>
      <c r="E1223" s="2" t="s">
        <v>3747</v>
      </c>
    </row>
    <row r="1224" spans="1:5" ht="70" x14ac:dyDescent="0.2">
      <c r="A1224" s="2" t="s">
        <v>2431</v>
      </c>
      <c r="B1224" s="2" t="str">
        <f>HYPERLINK("https://news.berkeley.edu/2024/04/25/the-day-michael-pollan-knew-something-was-cooking-in-berkeley")</f>
        <v>https://news.berkeley.edu/2024/04/25/the-day-michael-pollan-knew-something-was-cooking-in-berkeley</v>
      </c>
      <c r="C1224" s="2" t="s">
        <v>2429</v>
      </c>
      <c r="D1224" s="3">
        <v>45407</v>
      </c>
      <c r="E1224" s="2" t="s">
        <v>2432</v>
      </c>
    </row>
    <row r="1225" spans="1:5" ht="84" x14ac:dyDescent="0.2">
      <c r="A1225" s="2" t="s">
        <v>4122</v>
      </c>
      <c r="B1225" s="2" t="str">
        <f>HYPERLINK("https://actualnewsmagazine.com/des-lunchables-sous-le-feu-des-critiques-apres-des-rapports-faisant-etat-de-niveaux-preoccupants-de-plomb-et-de-sodium/")</f>
        <v>https://actualnewsmagazine.com/des-lunchables-sous-le-feu-des-critiques-apres-des-rapports-faisant-etat-de-niveaux-preoccupants-de-plomb-et-de-sodium/</v>
      </c>
      <c r="C1225" s="2" t="s">
        <v>4123</v>
      </c>
      <c r="D1225" s="3">
        <v>45407.197268518517</v>
      </c>
      <c r="E1225" s="2" t="s">
        <v>4124</v>
      </c>
    </row>
    <row r="1226" spans="1:5" ht="56" x14ac:dyDescent="0.2">
      <c r="A1226" s="2" t="s">
        <v>1402</v>
      </c>
      <c r="B1226" s="2" t="str">
        <f>HYPERLINK("https://www.fri-kopenskap.se/article/view/1095759/manga_skiften_om_vad_som_ar_sanning_i_matbranschen")</f>
        <v>https://www.fri-kopenskap.se/article/view/1095759/manga_skiften_om_vad_som_ar_sanning_i_matbranschen</v>
      </c>
      <c r="C1226" s="2" t="s">
        <v>1403</v>
      </c>
      <c r="D1226" s="3">
        <v>45409.166747685187</v>
      </c>
      <c r="E1226" s="2" t="s">
        <v>1404</v>
      </c>
    </row>
    <row r="1227" spans="1:5" ht="42" x14ac:dyDescent="0.2">
      <c r="A1227" s="2" t="s">
        <v>1402</v>
      </c>
      <c r="B1227" s="2" t="str">
        <f>HYPERLINK("https://www.fri-kopenskap.se/article/view/1095759/manga_skiften_i_matbranschen")</f>
        <v>https://www.fri-kopenskap.se/article/view/1095759/manga_skiften_i_matbranschen</v>
      </c>
      <c r="C1227" s="2" t="s">
        <v>1403</v>
      </c>
      <c r="D1227" s="3">
        <v>45409.169224537043</v>
      </c>
      <c r="E1227" s="2" t="s">
        <v>1404</v>
      </c>
    </row>
    <row r="1228" spans="1:5" ht="84" x14ac:dyDescent="0.2">
      <c r="A1228" s="2" t="s">
        <v>3021</v>
      </c>
      <c r="B1228" s="2" t="str">
        <f>HYPERLINK("http://www.ot.gr/2024/04/28/diethni/kraft-heinz-mporei-o-neos-ceo-na-allaksei-ta-epeksergasmena-trofima/")</f>
        <v>http://www.ot.gr/2024/04/28/diethni/kraft-heinz-mporei-o-neos-ceo-na-allaksei-ta-epeksergasmena-trofima/</v>
      </c>
      <c r="C1228" s="2" t="s">
        <v>3022</v>
      </c>
      <c r="D1228" s="3">
        <v>45410.168796296297</v>
      </c>
      <c r="E1228" s="2" t="s">
        <v>3023</v>
      </c>
    </row>
    <row r="1229" spans="1:5" ht="84" x14ac:dyDescent="0.2">
      <c r="A1229" s="2" t="s">
        <v>398</v>
      </c>
      <c r="B1229" s="2" t="str">
        <f>HYPERLINK("https://www.hindustantimes.com/opinion/back-make-in-india-with-testing-in-india-101714323044201.html")</f>
        <v>https://www.hindustantimes.com/opinion/back-make-in-india-with-testing-in-india-101714323044201.html</v>
      </c>
      <c r="C1229" s="2" t="s">
        <v>3661</v>
      </c>
      <c r="D1229" s="3">
        <v>45410.542187500003</v>
      </c>
      <c r="E1229" s="2" t="s">
        <v>399</v>
      </c>
    </row>
    <row r="1230" spans="1:5" ht="84" x14ac:dyDescent="0.2">
      <c r="A1230" s="2" t="s">
        <v>398</v>
      </c>
      <c r="B1230" s="2" t="str">
        <f>HYPERLINK("https://pressnewsagency.org/back-make-in-india-with-testing-in-india/")</f>
        <v>https://pressnewsagency.org/back-make-in-india-with-testing-in-india/</v>
      </c>
      <c r="C1230" s="2" t="s">
        <v>394</v>
      </c>
      <c r="D1230" s="3">
        <v>45410.575624999998</v>
      </c>
      <c r="E1230" s="2" t="s">
        <v>399</v>
      </c>
    </row>
    <row r="1231" spans="1:5" ht="70" x14ac:dyDescent="0.2">
      <c r="A1231" s="2" t="s">
        <v>3578</v>
      </c>
      <c r="B1231" s="2" t="str">
        <f>HYPERLINK("https://www.the-sun.com/money/11224430/carlos-abrams-rivera-lunchables-lead/")</f>
        <v>https://www.the-sun.com/money/11224430/carlos-abrams-rivera-lunchables-lead/</v>
      </c>
      <c r="C1231" s="2" t="s">
        <v>3579</v>
      </c>
      <c r="D1231" s="3">
        <v>45412.04760416667</v>
      </c>
      <c r="E1231" s="2" t="s">
        <v>3580</v>
      </c>
    </row>
    <row r="1232" spans="1:5" ht="70" x14ac:dyDescent="0.2">
      <c r="A1232" s="2" t="s">
        <v>4132</v>
      </c>
      <c r="B1232" s="2" t="str">
        <f>HYPERLINK("https://wherethefoodcomesfrom.com/usda-cuts-sugar-sodium-for-school-food-getting-kids-to-eat-it-is-still-a-challenge/")</f>
        <v>https://wherethefoodcomesfrom.com/usda-cuts-sugar-sodium-for-school-food-getting-kids-to-eat-it-is-still-a-challenge/</v>
      </c>
      <c r="C1232" s="2" t="s">
        <v>3746</v>
      </c>
      <c r="D1232" s="3">
        <v>45412.494085648148</v>
      </c>
      <c r="E1232" s="2" t="s">
        <v>3747</v>
      </c>
    </row>
    <row r="1233" spans="1:5" ht="126" x14ac:dyDescent="0.2">
      <c r="A1233" s="2" t="s">
        <v>503</v>
      </c>
      <c r="B1233" s="2" t="str">
        <f>HYPERLINK("https://www.foodsafetynews.com/2024/04/publishers-platform-what-you-need-to-know-about-e-coli-during-an-outbreak/")</f>
        <v>https://www.foodsafetynews.com/2024/04/publishers-platform-what-you-need-to-know-about-e-coli-during-an-outbreak/</v>
      </c>
      <c r="C1233" s="2" t="s">
        <v>2721</v>
      </c>
      <c r="D1233" s="3">
        <v>45412.759791666656</v>
      </c>
      <c r="E1233" s="2" t="s">
        <v>2856</v>
      </c>
    </row>
    <row r="1234" spans="1:5" ht="182" x14ac:dyDescent="0.2">
      <c r="A1234" s="2" t="s">
        <v>503</v>
      </c>
      <c r="B1234" s="2" t="str">
        <f>HYPERLINK("https://wdctv.news/publishers-platform-what-you-need-to-know-about-e-coli-during-an-outbreak/")</f>
        <v>https://wdctv.news/publishers-platform-what-you-need-to-know-about-e-coli-during-an-outbreak/</v>
      </c>
      <c r="C1234" s="2" t="s">
        <v>346</v>
      </c>
      <c r="D1234" s="3">
        <v>45412.857060185182</v>
      </c>
      <c r="E1234" s="2" t="s">
        <v>504</v>
      </c>
    </row>
    <row r="1235" spans="1:5" ht="70" x14ac:dyDescent="0.2">
      <c r="A1235" s="2" t="s">
        <v>3515</v>
      </c>
      <c r="B1235" s="2" t="str">
        <f>HYPERLINK("https://www1.folha.uol.com.br/blogs/ciencia-fundamental/2024/05/a-dubia-relacao-entre-a-ciencia-e-a-industria-de-alimentos.shtml")</f>
        <v>https://www1.folha.uol.com.br/blogs/ciencia-fundamental/2024/05/a-dubia-relacao-entre-a-ciencia-e-a-industria-de-alimentos.shtml</v>
      </c>
      <c r="C1235" s="2" t="s">
        <v>3511</v>
      </c>
      <c r="D1235" s="3">
        <v>45414.663680555554</v>
      </c>
      <c r="E1235" s="2" t="s">
        <v>3516</v>
      </c>
    </row>
    <row r="1236" spans="1:5" ht="70" x14ac:dyDescent="0.2">
      <c r="A1236" s="2" t="s">
        <v>777</v>
      </c>
      <c r="B1236" s="2" t="str">
        <f>HYPERLINK("https://www.oakdaleleader.com/209-living/food-inc-2-revisits-food-system/")</f>
        <v>https://www.oakdaleleader.com/209-living/food-inc-2-revisits-food-system/</v>
      </c>
      <c r="C1236" s="2" t="s">
        <v>1004</v>
      </c>
      <c r="D1236" s="3">
        <v>45415.448587962957</v>
      </c>
      <c r="E1236" s="2" t="s">
        <v>779</v>
      </c>
    </row>
    <row r="1237" spans="1:5" ht="70" x14ac:dyDescent="0.2">
      <c r="A1237" s="2" t="s">
        <v>777</v>
      </c>
      <c r="B1237" s="2" t="str">
        <f>HYPERLINK("https://www.escalontimes.com/209-living/food-inc-2-revisits-food-system/")</f>
        <v>https://www.escalontimes.com/209-living/food-inc-2-revisits-food-system/</v>
      </c>
      <c r="C1237" s="2" t="s">
        <v>1126</v>
      </c>
      <c r="D1237" s="3">
        <v>45415.450902777768</v>
      </c>
      <c r="E1237" s="2" t="s">
        <v>779</v>
      </c>
    </row>
    <row r="1238" spans="1:5" ht="112" x14ac:dyDescent="0.2">
      <c r="A1238" s="2" t="s">
        <v>4038</v>
      </c>
      <c r="B1238" s="2" t="str">
        <f>HYPERLINK("https://news.thin-ink.net/p/message-not-received")</f>
        <v>https://news.thin-ink.net/p/message-not-received</v>
      </c>
      <c r="C1238" s="2" t="s">
        <v>3740</v>
      </c>
      <c r="D1238" s="3">
        <v>45415.469039351847</v>
      </c>
      <c r="E1238" s="2" t="s">
        <v>4039</v>
      </c>
    </row>
    <row r="1239" spans="1:5" ht="70" x14ac:dyDescent="0.2">
      <c r="A1239" s="2" t="s">
        <v>777</v>
      </c>
      <c r="B1239" s="2" t="str">
        <f>HYPERLINK("https://www.theriverbanknews.com/209-living/food-inc-2-revisits-food-system/")</f>
        <v>https://www.theriverbanknews.com/209-living/food-inc-2-revisits-food-system/</v>
      </c>
      <c r="C1239" s="2" t="s">
        <v>778</v>
      </c>
      <c r="D1239" s="3">
        <v>45415.579317129632</v>
      </c>
      <c r="E1239" s="2" t="s">
        <v>779</v>
      </c>
    </row>
    <row r="1240" spans="1:5" ht="84" x14ac:dyDescent="0.2">
      <c r="A1240" s="2" t="s">
        <v>4216</v>
      </c>
      <c r="B1240" s="2" t="str">
        <f>HYPERLINK("https://fonografos.net/poies-synitheies-meta-ta-40-t-mporoun-na-epitachynoun-tin-apoleia-varous/")</f>
        <v>https://fonografos.net/poies-synitheies-meta-ta-40-t-mporoun-na-epitachynoun-tin-apoleia-varous/</v>
      </c>
      <c r="C1240" s="2" t="s">
        <v>4217</v>
      </c>
      <c r="D1240" s="3">
        <v>45415.709594907406</v>
      </c>
      <c r="E1240" s="2" t="s">
        <v>2566</v>
      </c>
    </row>
    <row r="1241" spans="1:5" ht="42" x14ac:dyDescent="0.2">
      <c r="A1241" s="2" t="s">
        <v>2143</v>
      </c>
      <c r="B1241" s="2" t="str">
        <f>HYPERLINK("https://www.telegraphherald.com/news/opinion/article_2502cf56-0981-11ef-8479-87f9e500817a.html")</f>
        <v>https://www.telegraphherald.com/news/opinion/article_2502cf56-0981-11ef-8479-87f9e500817a.html</v>
      </c>
      <c r="C1241" s="2" t="s">
        <v>2141</v>
      </c>
      <c r="D1241" s="3">
        <v>45417.072650462957</v>
      </c>
      <c r="E1241" s="2" t="s">
        <v>2144</v>
      </c>
    </row>
    <row r="1242" spans="1:5" ht="70" x14ac:dyDescent="0.2">
      <c r="A1242" s="2" t="s">
        <v>3896</v>
      </c>
      <c r="B1242" s="2" t="str">
        <f>HYPERLINK("https://wherethefoodcomesfrom.com/reality-check-harmful-microplastics-and-chemicals-are-in-our-food-and-water-supply/")</f>
        <v>https://wherethefoodcomesfrom.com/reality-check-harmful-microplastics-and-chemicals-are-in-our-food-and-water-supply/</v>
      </c>
      <c r="C1242" s="2" t="s">
        <v>3746</v>
      </c>
      <c r="D1242" s="3">
        <v>45417.919236111113</v>
      </c>
      <c r="E1242" s="2" t="s">
        <v>3747</v>
      </c>
    </row>
    <row r="1243" spans="1:5" ht="42" x14ac:dyDescent="0.2">
      <c r="A1243" s="2" t="s">
        <v>143</v>
      </c>
      <c r="B1243" s="2" t="str">
        <f>HYPERLINK("https://newszetu.com/can-yogurt-reduce-the-risk-of-type-2-diabetes/")</f>
        <v>https://newszetu.com/can-yogurt-reduce-the-risk-of-type-2-diabetes/</v>
      </c>
      <c r="C1243" s="2" t="s">
        <v>373</v>
      </c>
      <c r="D1243" s="3">
        <v>45418</v>
      </c>
      <c r="E1243" s="2" t="s">
        <v>70</v>
      </c>
    </row>
    <row r="1244" spans="1:5" ht="98" x14ac:dyDescent="0.2">
      <c r="A1244" s="2" t="s">
        <v>143</v>
      </c>
      <c r="B1244" s="2" t="str">
        <f>HYPERLINK("https://www.milescitystar.com/ap_news/national/can-yogurt-reduce-the-risk-of-type-2-diabetes/article_a0672a15-96dc-5a0d-a041-9168ef343e3b.html")</f>
        <v>https://www.milescitystar.com/ap_news/national/can-yogurt-reduce-the-risk-of-type-2-diabetes/article_a0672a15-96dc-5a0d-a041-9168ef343e3b.html</v>
      </c>
      <c r="C1244" s="2" t="s">
        <v>874</v>
      </c>
      <c r="D1244" s="3">
        <v>45418</v>
      </c>
      <c r="E1244" s="2" t="s">
        <v>875</v>
      </c>
    </row>
    <row r="1245" spans="1:5" ht="56" x14ac:dyDescent="0.2">
      <c r="A1245" s="2" t="s">
        <v>143</v>
      </c>
      <c r="B1245" s="2" t="str">
        <f>HYPERLINK("https://www.bedfordgazette.com/ap/national/can-yogurt-reduce-the-risk-of-type-2-diabetes/article_45787f1e-0e67-5a00-9a79-3411c541f568.html")</f>
        <v>https://www.bedfordgazette.com/ap/national/can-yogurt-reduce-the-risk-of-type-2-diabetes/article_45787f1e-0e67-5a00-9a79-3411c541f568.html</v>
      </c>
      <c r="C1245" s="2" t="s">
        <v>1290</v>
      </c>
      <c r="D1245" s="3">
        <v>45418</v>
      </c>
      <c r="E1245" s="2" t="s">
        <v>70</v>
      </c>
    </row>
    <row r="1246" spans="1:5" ht="126" x14ac:dyDescent="0.2">
      <c r="A1246" s="2" t="s">
        <v>143</v>
      </c>
      <c r="B1246" s="2" t="str">
        <f>HYPERLINK("https://www.edglentoday.com/topnews/details.cfm?id=446784")</f>
        <v>https://www.edglentoday.com/topnews/details.cfm?id=446784</v>
      </c>
      <c r="C1246" s="2" t="s">
        <v>1444</v>
      </c>
      <c r="D1246" s="3">
        <v>45418</v>
      </c>
      <c r="E1246" s="2" t="s">
        <v>291</v>
      </c>
    </row>
    <row r="1247" spans="1:5" ht="98" x14ac:dyDescent="0.2">
      <c r="A1247" s="2" t="s">
        <v>143</v>
      </c>
      <c r="B1247" s="2" t="str">
        <f>HYPERLINK("https://www.ivpressonline.com/news/nation/can-yogurt-reduce-the-risk-of-type-2-diabetes/article_28d7a5e0-6a78-5679-955a-7fc84037d554.html")</f>
        <v>https://www.ivpressonline.com/news/nation/can-yogurt-reduce-the-risk-of-type-2-diabetes/article_28d7a5e0-6a78-5679-955a-7fc84037d554.html</v>
      </c>
      <c r="C1247" s="2" t="s">
        <v>1630</v>
      </c>
      <c r="D1247" s="3">
        <v>45418</v>
      </c>
      <c r="E1247" s="2" t="s">
        <v>875</v>
      </c>
    </row>
    <row r="1248" spans="1:5" ht="98" x14ac:dyDescent="0.2">
      <c r="A1248" s="2" t="s">
        <v>143</v>
      </c>
      <c r="B1248" s="2" t="str">
        <f>HYPERLINK("https://www.whig.com/ap/national/can-yogurt-reduce-the-risk-of-type-2-diabetes/article_4fa14c13-9590-5f65-9278-25fcdc5669aa.html")</f>
        <v>https://www.whig.com/ap/national/can-yogurt-reduce-the-risk-of-type-2-diabetes/article_4fa14c13-9590-5f65-9278-25fcdc5669aa.html</v>
      </c>
      <c r="C1248" s="2" t="s">
        <v>1588</v>
      </c>
      <c r="D1248" s="3">
        <v>45418</v>
      </c>
      <c r="E1248" s="2" t="s">
        <v>875</v>
      </c>
    </row>
    <row r="1249" spans="1:5" ht="126" x14ac:dyDescent="0.2">
      <c r="A1249" s="2" t="s">
        <v>143</v>
      </c>
      <c r="B1249" s="2" t="str">
        <f>HYPERLINK("https://www.thecanadianpressnews.ca/health/can-yogurt-reduce-the-risk-of-type-2-diabetes/article_34e26e2b-6a05-558f-b5a2-8a7a9bbf4778.html")</f>
        <v>https://www.thecanadianpressnews.ca/health/can-yogurt-reduce-the-risk-of-type-2-diabetes/article_34e26e2b-6a05-558f-b5a2-8a7a9bbf4778.html</v>
      </c>
      <c r="C1249" s="2" t="s">
        <v>1737</v>
      </c>
      <c r="D1249" s="3">
        <v>45418</v>
      </c>
      <c r="E1249" s="2" t="s">
        <v>291</v>
      </c>
    </row>
    <row r="1250" spans="1:5" ht="126" x14ac:dyDescent="0.2">
      <c r="A1250" s="2" t="s">
        <v>143</v>
      </c>
      <c r="B1250" s="2" t="str">
        <f>HYPERLINK("https://www.wellandtribune.ca/life/can-yogurt-reduce-the-risk-of-type-2-diabetes/article_ab0144f6-a5ba-5300-8d7b-9c03b483c771.html")</f>
        <v>https://www.wellandtribune.ca/life/can-yogurt-reduce-the-risk-of-type-2-diabetes/article_ab0144f6-a5ba-5300-8d7b-9c03b483c771.html</v>
      </c>
      <c r="C1250" s="2" t="s">
        <v>1748</v>
      </c>
      <c r="D1250" s="3">
        <v>45418</v>
      </c>
      <c r="E1250" s="2" t="s">
        <v>291</v>
      </c>
    </row>
    <row r="1251" spans="1:5" ht="98" x14ac:dyDescent="0.2">
      <c r="A1251" s="2" t="s">
        <v>143</v>
      </c>
      <c r="B1251" s="2" t="str">
        <f>HYPERLINK("https://www.kentuckytoday.com/news/national/can-yogurt-reduce-the-risk-of-type-2-diabetes/article_c8d2dae2-fffd-5704-a34a-c93e7d630e89.html")</f>
        <v>https://www.kentuckytoday.com/news/national/can-yogurt-reduce-the-risk-of-type-2-diabetes/article_c8d2dae2-fffd-5704-a34a-c93e7d630e89.html</v>
      </c>
      <c r="C1251" s="2" t="s">
        <v>1775</v>
      </c>
      <c r="D1251" s="3">
        <v>45418</v>
      </c>
      <c r="E1251" s="2" t="s">
        <v>875</v>
      </c>
    </row>
    <row r="1252" spans="1:5" ht="98" x14ac:dyDescent="0.2">
      <c r="A1252" s="2" t="s">
        <v>143</v>
      </c>
      <c r="B1252" s="2" t="str">
        <f>HYPERLINK("https://www.rutlandherald.com/features/health/can-yogurt-reduce-the-risk-of-type-2-diabetes/article_0f4c1311-e7f6-59ae-8955-0375d17da6b1.html")</f>
        <v>https://www.rutlandherald.com/features/health/can-yogurt-reduce-the-risk-of-type-2-diabetes/article_0f4c1311-e7f6-59ae-8955-0375d17da6b1.html</v>
      </c>
      <c r="C1252" s="2" t="s">
        <v>1851</v>
      </c>
      <c r="D1252" s="3">
        <v>45418</v>
      </c>
      <c r="E1252" s="2" t="s">
        <v>875</v>
      </c>
    </row>
    <row r="1253" spans="1:5" ht="98" x14ac:dyDescent="0.2">
      <c r="A1253" s="2" t="s">
        <v>143</v>
      </c>
      <c r="B1253" s="2" t="str">
        <f>HYPERLINK("https://www.timesargus.com/news/national/can-yogurt-reduce-the-risk-of-type-2-diabetes/article_6e7df258-3b97-5daa-9f3f-36a1c96ba891.html")</f>
        <v>https://www.timesargus.com/news/national/can-yogurt-reduce-the-risk-of-type-2-diabetes/article_6e7df258-3b97-5daa-9f3f-36a1c96ba891.html</v>
      </c>
      <c r="C1253" s="2" t="s">
        <v>1944</v>
      </c>
      <c r="D1253" s="3">
        <v>45418</v>
      </c>
      <c r="E1253" s="2" t="s">
        <v>875</v>
      </c>
    </row>
    <row r="1254" spans="1:5" ht="98" x14ac:dyDescent="0.2">
      <c r="A1254" s="2" t="s">
        <v>143</v>
      </c>
      <c r="B1254" s="2" t="str">
        <f>HYPERLINK("https://www.dnronline.com/associated_press/national/can-yogurt-reduce-the-risk-of-type-2-diabetes/article_a4de1281-3088-583e-a506-a8399decaaad.html")</f>
        <v>https://www.dnronline.com/associated_press/national/can-yogurt-reduce-the-risk-of-type-2-diabetes/article_a4de1281-3088-583e-a506-a8399decaaad.html</v>
      </c>
      <c r="C1254" s="2" t="s">
        <v>1902</v>
      </c>
      <c r="D1254" s="3">
        <v>45418</v>
      </c>
      <c r="E1254" s="2" t="s">
        <v>875</v>
      </c>
    </row>
    <row r="1255" spans="1:5" ht="98" x14ac:dyDescent="0.2">
      <c r="A1255" s="2" t="s">
        <v>143</v>
      </c>
      <c r="B1255" s="2" t="str">
        <f>HYPERLINK("https://www.bgdailynews.com/news/national/can-yogurt-reduce-the-risk-of-type-2-diabetes/article_d93557fa-ccac-5eb0-80df-b9a58f497725.html")</f>
        <v>https://www.bgdailynews.com/news/national/can-yogurt-reduce-the-risk-of-type-2-diabetes/article_d93557fa-ccac-5eb0-80df-b9a58f497725.html</v>
      </c>
      <c r="C1255" s="2" t="s">
        <v>2060</v>
      </c>
      <c r="D1255" s="3">
        <v>45418</v>
      </c>
      <c r="E1255" s="2" t="s">
        <v>875</v>
      </c>
    </row>
    <row r="1256" spans="1:5" ht="98" x14ac:dyDescent="0.2">
      <c r="A1256" s="2" t="s">
        <v>143</v>
      </c>
      <c r="B1256" s="2" t="str">
        <f>HYPERLINK("https://www.newspressnow.com/news/national_news/can-yogurt-reduce-the-risk-of-type-2-diabetes/article_23023cc1-d9eb-5962-a114-73510f7ad200.html")</f>
        <v>https://www.newspressnow.com/news/national_news/can-yogurt-reduce-the-risk-of-type-2-diabetes/article_23023cc1-d9eb-5962-a114-73510f7ad200.html</v>
      </c>
      <c r="C1256" s="2" t="s">
        <v>2081</v>
      </c>
      <c r="D1256" s="3">
        <v>45418</v>
      </c>
      <c r="E1256" s="2" t="s">
        <v>875</v>
      </c>
    </row>
    <row r="1257" spans="1:5" ht="98" x14ac:dyDescent="0.2">
      <c r="A1257" s="2" t="s">
        <v>143</v>
      </c>
      <c r="B1257" s="2" t="str">
        <f>HYPERLINK("https://www.gjsentinel.com/news/us/can-yogurt-reduce-the-risk-of-type-2-diabetes/article_6a4e3b45-677b-5e6a-8ad0-26756a9ce4ad.html")</f>
        <v>https://www.gjsentinel.com/news/us/can-yogurt-reduce-the-risk-of-type-2-diabetes/article_6a4e3b45-677b-5e6a-8ad0-26756a9ce4ad.html</v>
      </c>
      <c r="C1257" s="2" t="s">
        <v>2053</v>
      </c>
      <c r="D1257" s="3">
        <v>45418</v>
      </c>
      <c r="E1257" s="2" t="s">
        <v>875</v>
      </c>
    </row>
    <row r="1258" spans="1:5" ht="126" x14ac:dyDescent="0.2">
      <c r="A1258" s="2" t="s">
        <v>143</v>
      </c>
      <c r="B1258" s="2" t="str">
        <f>HYPERLINK("https://www.riverbender.com/topnews/details.cfm?id=446784")</f>
        <v>https://www.riverbender.com/topnews/details.cfm?id=446784</v>
      </c>
      <c r="C1258" s="2" t="s">
        <v>2139</v>
      </c>
      <c r="D1258" s="3">
        <v>45418</v>
      </c>
      <c r="E1258" s="2" t="s">
        <v>291</v>
      </c>
    </row>
    <row r="1259" spans="1:5" ht="98" x14ac:dyDescent="0.2">
      <c r="A1259" s="2" t="s">
        <v>143</v>
      </c>
      <c r="B1259" s="2" t="str">
        <f>HYPERLINK("https://www.bozemandailychronicle.com/ap_news/can-yogurt-reduce-the-risk-of-type-2-diabetes/article_928a9b36-d3a2-5fcd-bbb8-e25f1757c022.html")</f>
        <v>https://www.bozemandailychronicle.com/ap_news/can-yogurt-reduce-the-risk-of-type-2-diabetes/article_928a9b36-d3a2-5fcd-bbb8-e25f1757c022.html</v>
      </c>
      <c r="C1259" s="2" t="s">
        <v>2219</v>
      </c>
      <c r="D1259" s="3">
        <v>45418</v>
      </c>
      <c r="E1259" s="2" t="s">
        <v>875</v>
      </c>
    </row>
    <row r="1260" spans="1:5" ht="126" x14ac:dyDescent="0.2">
      <c r="A1260" s="2" t="s">
        <v>143</v>
      </c>
      <c r="B1260" s="2" t="str">
        <f>HYPERLINK("http://accesswdun.com/article/2024/5/1241151")</f>
        <v>http://accesswdun.com/article/2024/5/1241151</v>
      </c>
      <c r="C1260" s="2" t="s">
        <v>2256</v>
      </c>
      <c r="D1260" s="3">
        <v>45418</v>
      </c>
      <c r="E1260" s="2" t="s">
        <v>291</v>
      </c>
    </row>
    <row r="1261" spans="1:5" ht="126" x14ac:dyDescent="0.2">
      <c r="A1261" s="2" t="s">
        <v>143</v>
      </c>
      <c r="B1261" s="2" t="str">
        <f>HYPERLINK("https://www.thepeterboroughexaminer.com/life/can-yogurt-reduce-the-risk-of-type-2-diabetes/article_51e78fc7-d39e-5158-871e-e65202f81c60.html")</f>
        <v>https://www.thepeterboroughexaminer.com/life/can-yogurt-reduce-the-risk-of-type-2-diabetes/article_51e78fc7-d39e-5158-871e-e65202f81c60.html</v>
      </c>
      <c r="C1261" s="2" t="s">
        <v>2288</v>
      </c>
      <c r="D1261" s="3">
        <v>45418</v>
      </c>
      <c r="E1261" s="2" t="s">
        <v>291</v>
      </c>
    </row>
    <row r="1262" spans="1:5" ht="98" x14ac:dyDescent="0.2">
      <c r="A1262" s="2" t="s">
        <v>143</v>
      </c>
      <c r="B1262" s="2" t="str">
        <f>HYPERLINK("https://www.news8000.com/news/national-world/can-yogurt-reduce-the-risk-of-type-2-diabetes/article_9401398f-dbe5-5d66-831d-690324ad20ca.html")</f>
        <v>https://www.news8000.com/news/national-world/can-yogurt-reduce-the-risk-of-type-2-diabetes/article_9401398f-dbe5-5d66-831d-690324ad20ca.html</v>
      </c>
      <c r="C1262" s="2" t="s">
        <v>2192</v>
      </c>
      <c r="D1262" s="3">
        <v>45418</v>
      </c>
      <c r="E1262" s="2" t="s">
        <v>875</v>
      </c>
    </row>
    <row r="1263" spans="1:5" ht="98" x14ac:dyDescent="0.2">
      <c r="A1263" s="2" t="s">
        <v>143</v>
      </c>
      <c r="B1263" s="2" t="str">
        <f>HYPERLINK("https://kdhnews.com/living/health/can-yogurt-reduce-the-risk-of-type-2-diabetes/article_22e98343-e54c-55bc-99bf-778207f0d694.html")</f>
        <v>https://kdhnews.com/living/health/can-yogurt-reduce-the-risk-of-type-2-diabetes/article_22e98343-e54c-55bc-99bf-778207f0d694.html</v>
      </c>
      <c r="C1263" s="2" t="s">
        <v>2102</v>
      </c>
      <c r="D1263" s="3">
        <v>45418</v>
      </c>
      <c r="E1263" s="2" t="s">
        <v>875</v>
      </c>
    </row>
    <row r="1264" spans="1:5" ht="98" x14ac:dyDescent="0.2">
      <c r="A1264" s="2" t="s">
        <v>143</v>
      </c>
      <c r="B1264" s="2" t="str">
        <f>HYPERLINK("https://www.dailygazette.com/ap/national/can-yogurt-reduce-the-risk-of-type-2-diabetes/article_3a74ed83-95a7-536e-ba57-61c06aeea915.html")</f>
        <v>https://www.dailygazette.com/ap/national/can-yogurt-reduce-the-risk-of-type-2-diabetes/article_3a74ed83-95a7-536e-ba57-61c06aeea915.html</v>
      </c>
      <c r="C1264" s="2" t="s">
        <v>2460</v>
      </c>
      <c r="D1264" s="3">
        <v>45418</v>
      </c>
      <c r="E1264" s="2" t="s">
        <v>875</v>
      </c>
    </row>
    <row r="1265" spans="1:5" ht="42" x14ac:dyDescent="0.2">
      <c r="A1265" s="2" t="s">
        <v>2556</v>
      </c>
      <c r="B1265" s="2" t="str">
        <f>HYPERLINK("https://deal.town/nerd-fitness/5-fitness-beliefs-ive-changed-my-mind-on-FK3P7VMA2")</f>
        <v>https://deal.town/nerd-fitness/5-fitness-beliefs-ive-changed-my-mind-on-FK3P7VMA2</v>
      </c>
      <c r="C1265" s="2" t="s">
        <v>2546</v>
      </c>
      <c r="D1265" s="3">
        <v>45418</v>
      </c>
      <c r="E1265" s="2" t="s">
        <v>2557</v>
      </c>
    </row>
    <row r="1266" spans="1:5" ht="126" x14ac:dyDescent="0.2">
      <c r="A1266" s="2" t="s">
        <v>143</v>
      </c>
      <c r="B1266" s="2" t="str">
        <f>HYPERLINK("https://www.stcatharinesstandard.ca/life/can-yogurt-reduce-the-risk-of-type-2-diabetes/article_33e68e69-d7ab-5009-813e-9812654c64c7.html")</f>
        <v>https://www.stcatharinesstandard.ca/life/can-yogurt-reduce-the-risk-of-type-2-diabetes/article_33e68e69-d7ab-5009-813e-9812654c64c7.html</v>
      </c>
      <c r="C1266" s="2" t="s">
        <v>2398</v>
      </c>
      <c r="D1266" s="3">
        <v>45418</v>
      </c>
      <c r="E1266" s="2" t="s">
        <v>291</v>
      </c>
    </row>
    <row r="1267" spans="1:5" ht="98" x14ac:dyDescent="0.2">
      <c r="A1267" s="2" t="s">
        <v>143</v>
      </c>
      <c r="B1267" s="2" t="str">
        <f>HYPERLINK("https://lancasteronline.com/news/health/can-yogurt-reduce-the-risk-of-type-2-diabetes/article_93d598fc-2f82-57df-ac1c-d7c68ba09a36.html")</f>
        <v>https://lancasteronline.com/news/health/can-yogurt-reduce-the-risk-of-type-2-diabetes/article_93d598fc-2f82-57df-ac1c-d7c68ba09a36.html</v>
      </c>
      <c r="C1267" s="2" t="s">
        <v>2697</v>
      </c>
      <c r="D1267" s="3">
        <v>45418</v>
      </c>
      <c r="E1267" s="2" t="s">
        <v>875</v>
      </c>
    </row>
    <row r="1268" spans="1:5" ht="98" x14ac:dyDescent="0.2">
      <c r="A1268" s="2" t="s">
        <v>143</v>
      </c>
      <c r="B1268" s="2" t="str">
        <f>HYPERLINK("https://www.2news.com/news/national/can-yogurt-reduce-the-risk-of-type-2-diabetes/article_2bbacd5b-a333-535d-8a8a-6bde87e9ec0b.html")</f>
        <v>https://www.2news.com/news/national/can-yogurt-reduce-the-risk-of-type-2-diabetes/article_2bbacd5b-a333-535d-8a8a-6bde87e9ec0b.html</v>
      </c>
      <c r="C1268" s="2" t="s">
        <v>2473</v>
      </c>
      <c r="D1268" s="3">
        <v>45418</v>
      </c>
      <c r="E1268" s="2" t="s">
        <v>875</v>
      </c>
    </row>
    <row r="1269" spans="1:5" ht="98" x14ac:dyDescent="0.2">
      <c r="A1269" s="2" t="s">
        <v>143</v>
      </c>
      <c r="B1269" s="2" t="str">
        <f>HYPERLINK("http://www.wfmz.com/news/can-yogurt-reduce-the-risk-of-type-2-diabetes/article_897a0201-a071-5655-915c-23d3ef7933c3.html")</f>
        <v>http://www.wfmz.com/news/can-yogurt-reduce-the-risk-of-type-2-diabetes/article_897a0201-a071-5655-915c-23d3ef7933c3.html</v>
      </c>
      <c r="C1269" s="2" t="s">
        <v>2745</v>
      </c>
      <c r="D1269" s="3">
        <v>45418</v>
      </c>
      <c r="E1269" s="2" t="s">
        <v>875</v>
      </c>
    </row>
    <row r="1270" spans="1:5" ht="98" x14ac:dyDescent="0.2">
      <c r="A1270" s="2" t="s">
        <v>143</v>
      </c>
      <c r="B1270" s="2" t="str">
        <f>HYPERLINK("https://www.postandcourier.com/aikenstandard/news/nation/can-yogurt-reduce-the-risk-of-type-2-diabetes/article_7d084058-7380-58a7-815d-e91968257995.html")</f>
        <v>https://www.postandcourier.com/aikenstandard/news/nation/can-yogurt-reduce-the-risk-of-type-2-diabetes/article_7d084058-7380-58a7-815d-e91968257995.html</v>
      </c>
      <c r="C1270" s="2" t="s">
        <v>3027</v>
      </c>
      <c r="D1270" s="3">
        <v>45418</v>
      </c>
      <c r="E1270" s="2" t="s">
        <v>875</v>
      </c>
    </row>
    <row r="1271" spans="1:5" ht="98" x14ac:dyDescent="0.2">
      <c r="A1271" s="2" t="s">
        <v>143</v>
      </c>
      <c r="B1271" s="2" t="str">
        <f>HYPERLINK("http://www.aikenstandard.com/aikenstandard/news/nation/can-yogurt-reduce-the-risk-of-type-2-diabetes/article_7d084058-7380-58a7-815d-e91968257995.html")</f>
        <v>http://www.aikenstandard.com/aikenstandard/news/nation/can-yogurt-reduce-the-risk-of-type-2-diabetes/article_7d084058-7380-58a7-815d-e91968257995.html</v>
      </c>
      <c r="C1271" s="2" t="s">
        <v>3027</v>
      </c>
      <c r="D1271" s="3">
        <v>45418</v>
      </c>
      <c r="E1271" s="2" t="s">
        <v>875</v>
      </c>
    </row>
    <row r="1272" spans="1:5" ht="56" x14ac:dyDescent="0.2">
      <c r="A1272" s="2" t="s">
        <v>143</v>
      </c>
      <c r="B1272" s="2" t="str">
        <f>HYPERLINK("https://www.thestar.com/news/world/united-states/can-yogurt-reduce-the-risk-of-type-2-diabetes/article_dd3de7d5-cbcd-5a29-919a-0dfff4d14e88.html")</f>
        <v>https://www.thestar.com/news/world/united-states/can-yogurt-reduce-the-risk-of-type-2-diabetes/article_dd3de7d5-cbcd-5a29-919a-0dfff4d14e88.html</v>
      </c>
      <c r="C1272" s="2" t="s">
        <v>3359</v>
      </c>
      <c r="D1272" s="3">
        <v>45418</v>
      </c>
      <c r="E1272" s="2" t="s">
        <v>70</v>
      </c>
    </row>
    <row r="1273" spans="1:5" ht="280" x14ac:dyDescent="0.2">
      <c r="A1273" s="2" t="s">
        <v>3971</v>
      </c>
      <c r="B1273" s="2" t="str">
        <f>HYPERLINK("https://cn.cari.com.my/portal.php?mod=view&amp;aid=226811")</f>
        <v>https://cn.cari.com.my/portal.php?mod=view&amp;aid=226811</v>
      </c>
      <c r="C1273" s="2" t="s">
        <v>3972</v>
      </c>
      <c r="D1273" s="3">
        <v>45418</v>
      </c>
      <c r="E1273" s="2" t="s">
        <v>3973</v>
      </c>
    </row>
    <row r="1274" spans="1:5" ht="98" x14ac:dyDescent="0.2">
      <c r="A1274" s="2" t="s">
        <v>143</v>
      </c>
      <c r="B1274" s="2" t="str">
        <f>HYPERLINK("https://www.yoursourceone.com/sports/basketball/can-yogurt-reduce-the-risk-of-type-2-diabetes/article_d77cd4fd-5052-5f02-99a8-673440f94b9f.html")</f>
        <v>https://www.yoursourceone.com/sports/basketball/can-yogurt-reduce-the-risk-of-type-2-diabetes/article_d77cd4fd-5052-5f02-99a8-673440f94b9f.html</v>
      </c>
      <c r="C1274" s="2" t="s">
        <v>3792</v>
      </c>
      <c r="D1274" s="3">
        <v>45418</v>
      </c>
      <c r="E1274" s="2" t="s">
        <v>875</v>
      </c>
    </row>
    <row r="1275" spans="1:5" ht="182" x14ac:dyDescent="0.2">
      <c r="A1275" s="2" t="s">
        <v>143</v>
      </c>
      <c r="B1275" s="2" t="str">
        <f>HYPERLINK("https://lasvegassun.com/news/2024/may/06/can-yogurt-reduce-the-risk-of-type-2-diabetes/")</f>
        <v>https://lasvegassun.com/news/2024/may/06/can-yogurt-reduce-the-risk-of-type-2-diabetes/</v>
      </c>
      <c r="C1275" s="2" t="s">
        <v>2601</v>
      </c>
      <c r="D1275" s="3">
        <v>45418.379166666673</v>
      </c>
      <c r="E1275" s="2" t="s">
        <v>144</v>
      </c>
    </row>
    <row r="1276" spans="1:5" ht="70" x14ac:dyDescent="0.2">
      <c r="A1276" s="2" t="s">
        <v>182</v>
      </c>
      <c r="B1276" s="2" t="str">
        <f>HYPERLINK("https://bitebi.com/today-a-book-a-out-taiwans-tv-cooking-star-fu-pei-mei/")</f>
        <v>https://bitebi.com/today-a-book-a-out-taiwans-tv-cooking-star-fu-pei-mei/</v>
      </c>
      <c r="C1276" s="2" t="s">
        <v>15</v>
      </c>
      <c r="D1276" s="3">
        <v>45418.442025462973</v>
      </c>
      <c r="E1276" s="2" t="s">
        <v>183</v>
      </c>
    </row>
    <row r="1277" spans="1:5" ht="126" x14ac:dyDescent="0.2">
      <c r="A1277" s="2" t="s">
        <v>143</v>
      </c>
      <c r="B1277" s="2" t="str">
        <f>HYPERLINK("https://www.regionalmedianews.com/news/national/health/can-yogurt-reduce-the-risk-of-type-2-diabetes")</f>
        <v>https://www.regionalmedianews.com/news/national/health/can-yogurt-reduce-the-risk-of-type-2-diabetes</v>
      </c>
      <c r="C1277" s="2" t="s">
        <v>1107</v>
      </c>
      <c r="D1277" s="3">
        <v>45418.486111111109</v>
      </c>
      <c r="E1277" s="2" t="s">
        <v>291</v>
      </c>
    </row>
    <row r="1278" spans="1:5" ht="126" x14ac:dyDescent="0.2">
      <c r="A1278" s="2" t="s">
        <v>143</v>
      </c>
      <c r="B1278" s="2" t="str">
        <f>HYPERLINK("https://nz.news.yahoo.com/yogurt-reduce-risk-type-2-160618712.html")</f>
        <v>https://nz.news.yahoo.com/yogurt-reduce-risk-type-2-160618712.html</v>
      </c>
      <c r="C1278" s="2" t="s">
        <v>2518</v>
      </c>
      <c r="D1278" s="3">
        <v>45418.504374999997</v>
      </c>
      <c r="E1278" s="2" t="s">
        <v>291</v>
      </c>
    </row>
    <row r="1279" spans="1:5" ht="126" x14ac:dyDescent="0.2">
      <c r="A1279" s="2" t="s">
        <v>143</v>
      </c>
      <c r="B1279" s="2" t="str">
        <f>HYPERLINK("https://malaysia.news.yahoo.com/yogurt-reduce-risk-type-2-160618712.html")</f>
        <v>https://malaysia.news.yahoo.com/yogurt-reduce-risk-type-2-160618712.html</v>
      </c>
      <c r="C1279" s="2" t="s">
        <v>2674</v>
      </c>
      <c r="D1279" s="3">
        <v>45418.504374999997</v>
      </c>
      <c r="E1279" s="2" t="s">
        <v>291</v>
      </c>
    </row>
    <row r="1280" spans="1:5" ht="126" x14ac:dyDescent="0.2">
      <c r="A1280" s="2" t="s">
        <v>143</v>
      </c>
      <c r="B1280" s="2" t="str">
        <f>HYPERLINK("https://sg.news.yahoo.com/yogurt-reduce-risk-type-2-160618712.html")</f>
        <v>https://sg.news.yahoo.com/yogurt-reduce-risk-type-2-160618712.html</v>
      </c>
      <c r="C1280" s="2" t="s">
        <v>3120</v>
      </c>
      <c r="D1280" s="3">
        <v>45418.504374999997</v>
      </c>
      <c r="E1280" s="2" t="s">
        <v>550</v>
      </c>
    </row>
    <row r="1281" spans="1:5" ht="126" x14ac:dyDescent="0.2">
      <c r="A1281" s="2" t="s">
        <v>143</v>
      </c>
      <c r="B1281" s="2" t="str">
        <f>HYPERLINK("https://au.news.yahoo.com/yogurt-reduce-risk-type-2-160618712.html")</f>
        <v>https://au.news.yahoo.com/yogurt-reduce-risk-type-2-160618712.html</v>
      </c>
      <c r="C1281" s="2" t="s">
        <v>3069</v>
      </c>
      <c r="D1281" s="3">
        <v>45418.504374999997</v>
      </c>
      <c r="E1281" s="2" t="s">
        <v>550</v>
      </c>
    </row>
    <row r="1282" spans="1:5" ht="126" x14ac:dyDescent="0.2">
      <c r="A1282" s="2" t="s">
        <v>143</v>
      </c>
      <c r="B1282" s="2" t="str">
        <f>HYPERLINK("https://uk.news.yahoo.com/yogurt-reduce-risk-type-2-160618712.html")</f>
        <v>https://uk.news.yahoo.com/yogurt-reduce-risk-type-2-160618712.html</v>
      </c>
      <c r="C1282" s="2" t="s">
        <v>3264</v>
      </c>
      <c r="D1282" s="3">
        <v>45418.504374999997</v>
      </c>
      <c r="E1282" s="2" t="s">
        <v>550</v>
      </c>
    </row>
    <row r="1283" spans="1:5" ht="126" x14ac:dyDescent="0.2">
      <c r="A1283" s="2" t="s">
        <v>143</v>
      </c>
      <c r="B1283" s="2" t="str">
        <f>HYPERLINK("https://www.aol.com/lifestyle/yogurt-reduce-risk-type-2-160618910.html")</f>
        <v>https://www.aol.com/lifestyle/yogurt-reduce-risk-type-2-160618910.html</v>
      </c>
      <c r="C1283" s="2" t="s">
        <v>3592</v>
      </c>
      <c r="D1283" s="3">
        <v>45418.504374999997</v>
      </c>
      <c r="E1283" s="2" t="s">
        <v>291</v>
      </c>
    </row>
    <row r="1284" spans="1:5" ht="126" x14ac:dyDescent="0.2">
      <c r="A1284" s="2" t="s">
        <v>143</v>
      </c>
      <c r="B1284" s="2" t="str">
        <f>HYPERLINK("https://www.yahoo.com/news/yogurt-reduce-risk-type-2-160618712.html")</f>
        <v>https://www.yahoo.com/news/yogurt-reduce-risk-type-2-160618712.html</v>
      </c>
      <c r="C1284" s="2" t="s">
        <v>3728</v>
      </c>
      <c r="D1284" s="3">
        <v>45418.504374999997</v>
      </c>
      <c r="E1284" s="2" t="s">
        <v>291</v>
      </c>
    </row>
    <row r="1285" spans="1:5" ht="126" x14ac:dyDescent="0.2">
      <c r="A1285" s="2" t="s">
        <v>143</v>
      </c>
      <c r="B1285" s="2" t="str">
        <f>HYPERLINK("https://kdow.biz/news/national/can-yogurt-reduce-the-risk-of-type-2-diabetes/1220c7ba6b553f254b9d8fb8eff60783")</f>
        <v>https://kdow.biz/news/national/can-yogurt-reduce-the-risk-of-type-2-diabetes/1220c7ba6b553f254b9d8fb8eff60783</v>
      </c>
      <c r="C1285" s="2" t="s">
        <v>728</v>
      </c>
      <c r="D1285" s="3">
        <v>45418.504386574074</v>
      </c>
      <c r="E1285" s="2" t="s">
        <v>291</v>
      </c>
    </row>
    <row r="1286" spans="1:5" ht="126" x14ac:dyDescent="0.2">
      <c r="A1286" s="2" t="s">
        <v>143</v>
      </c>
      <c r="B1286" s="2" t="str">
        <f>HYPERLINK("https://860amtheanswer.com/news/national/can-yogurt-reduce-the-risk-of-type-2-diabetes/1220c7ba6b553f254b9d8fb8eff60783")</f>
        <v>https://860amtheanswer.com/news/national/can-yogurt-reduce-the-risk-of-type-2-diabetes/1220c7ba6b553f254b9d8fb8eff60783</v>
      </c>
      <c r="C1286" s="2" t="s">
        <v>619</v>
      </c>
      <c r="D1286" s="3">
        <v>45418.504386574074</v>
      </c>
      <c r="E1286" s="2" t="s">
        <v>291</v>
      </c>
    </row>
    <row r="1287" spans="1:5" ht="126" x14ac:dyDescent="0.2">
      <c r="A1287" s="2" t="s">
        <v>143</v>
      </c>
      <c r="B1287" s="2" t="str">
        <f>HYPERLINK("https://am1460theanswer.com/news/national/can-yogurt-reduce-the-risk-of-type-2-diabetes/1220c7ba6b553f254b9d8fb8eff60783")</f>
        <v>https://am1460theanswer.com/news/national/can-yogurt-reduce-the-risk-of-type-2-diabetes/1220c7ba6b553f254b9d8fb8eff60783</v>
      </c>
      <c r="C1287" s="2" t="s">
        <v>562</v>
      </c>
      <c r="D1287" s="3">
        <v>45418.504386574074</v>
      </c>
      <c r="E1287" s="2" t="s">
        <v>291</v>
      </c>
    </row>
    <row r="1288" spans="1:5" ht="126" x14ac:dyDescent="0.2">
      <c r="A1288" s="2" t="s">
        <v>143</v>
      </c>
      <c r="B1288" s="2" t="str">
        <f>HYPERLINK("https://theanswerseattle.com/news/national/can-yogurt-reduce-the-risk-of-type-2-diabetes/1220c7ba6b553f254b9d8fb8eff60783")</f>
        <v>https://theanswerseattle.com/news/national/can-yogurt-reduce-the-risk-of-type-2-diabetes/1220c7ba6b553f254b9d8fb8eff60783</v>
      </c>
      <c r="C1288" s="2" t="s">
        <v>1135</v>
      </c>
      <c r="D1288" s="3">
        <v>45418.504386574074</v>
      </c>
      <c r="E1288" s="2" t="s">
        <v>291</v>
      </c>
    </row>
    <row r="1289" spans="1:5" ht="126" x14ac:dyDescent="0.2">
      <c r="A1289" s="2" t="s">
        <v>143</v>
      </c>
      <c r="B1289" s="2" t="str">
        <f>HYPERLINK("https://www.cenlanow.com/news/ap-wire/ap-health/ap-can-yogurt-reduce-the-risk-of-type-2-diabetes/")</f>
        <v>https://www.cenlanow.com/news/ap-wire/ap-health/ap-can-yogurt-reduce-the-risk-of-type-2-diabetes/</v>
      </c>
      <c r="C1289" s="2" t="s">
        <v>1185</v>
      </c>
      <c r="D1289" s="3">
        <v>45418.504386574074</v>
      </c>
      <c r="E1289" s="2" t="s">
        <v>291</v>
      </c>
    </row>
    <row r="1290" spans="1:5" ht="126" x14ac:dyDescent="0.2">
      <c r="A1290" s="2" t="s">
        <v>143</v>
      </c>
      <c r="B1290" s="2" t="str">
        <f>HYPERLINK("https://560theanswer.com/news/national/can-yogurt-reduce-the-risk-of-type-2-diabetes/1220c7ba6b553f254b9d8fb8eff60783")</f>
        <v>https://560theanswer.com/news/national/can-yogurt-reduce-the-risk-of-type-2-diabetes/1220c7ba6b553f254b9d8fb8eff60783</v>
      </c>
      <c r="C1290" s="2" t="s">
        <v>1398</v>
      </c>
      <c r="D1290" s="3">
        <v>45418.504386574074</v>
      </c>
      <c r="E1290" s="2" t="s">
        <v>291</v>
      </c>
    </row>
    <row r="1291" spans="1:5" ht="42" x14ac:dyDescent="0.2">
      <c r="A1291" s="2" t="s">
        <v>143</v>
      </c>
      <c r="B1291" s="2" t="str">
        <f>HYPERLINK("https://www.sheltonherald.com/news/article/can-yogurt-reduce-the-risk-of-type-2-diabetes-19441883.php")</f>
        <v>https://www.sheltonherald.com/news/article/can-yogurt-reduce-the-risk-of-type-2-diabetes-19441883.php</v>
      </c>
      <c r="C1291" s="2" t="s">
        <v>1415</v>
      </c>
      <c r="D1291" s="3">
        <v>45418.504386574074</v>
      </c>
      <c r="E1291" s="2" t="s">
        <v>70</v>
      </c>
    </row>
    <row r="1292" spans="1:5" ht="42" x14ac:dyDescent="0.2">
      <c r="A1292" s="2" t="s">
        <v>143</v>
      </c>
      <c r="B1292" s="2" t="str">
        <f>HYPERLINK("https://www.darientimes.com/news/article/can-yogurt-reduce-the-risk-of-type-2-diabetes-19441883.php")</f>
        <v>https://www.darientimes.com/news/article/can-yogurt-reduce-the-risk-of-type-2-diabetes-19441883.php</v>
      </c>
      <c r="C1292" s="2" t="s">
        <v>1463</v>
      </c>
      <c r="D1292" s="3">
        <v>45418.504386574074</v>
      </c>
      <c r="E1292" s="2" t="s">
        <v>70</v>
      </c>
    </row>
    <row r="1293" spans="1:5" ht="154" x14ac:dyDescent="0.2">
      <c r="A1293" s="2" t="s">
        <v>143</v>
      </c>
      <c r="B1293" s="2" t="str">
        <f>HYPERLINK("https://www.informnny.com/news/health-news/ap-can-yogurt-reduce-the-risk-of-type-2-diabetes/")</f>
        <v>https://www.informnny.com/news/health-news/ap-can-yogurt-reduce-the-risk-of-type-2-diabetes/</v>
      </c>
      <c r="C1293" s="2" t="s">
        <v>1660</v>
      </c>
      <c r="D1293" s="3">
        <v>45418.504386574074</v>
      </c>
      <c r="E1293" s="2" t="s">
        <v>1661</v>
      </c>
    </row>
    <row r="1294" spans="1:5" ht="126" x14ac:dyDescent="0.2">
      <c r="A1294" s="2" t="s">
        <v>143</v>
      </c>
      <c r="B1294" s="2" t="str">
        <f>HYPERLINK("https://phl17.com/health/ap-health/ap-can-yogurt-reduce-the-risk-of-type-2-diabetes/")</f>
        <v>https://phl17.com/health/ap-health/ap-can-yogurt-reduce-the-risk-of-type-2-diabetes/</v>
      </c>
      <c r="C1294" s="2" t="s">
        <v>1695</v>
      </c>
      <c r="D1294" s="3">
        <v>45418.504386574074</v>
      </c>
      <c r="E1294" s="2" t="s">
        <v>291</v>
      </c>
    </row>
    <row r="1295" spans="1:5" ht="42" x14ac:dyDescent="0.2">
      <c r="A1295" s="2" t="s">
        <v>143</v>
      </c>
      <c r="B1295" s="2" t="str">
        <f>HYPERLINK("https://www.yourconroenews.com/news/article/can-yogurt-reduce-the-risk-of-type-2-diabetes-19441883.php")</f>
        <v>https://www.yourconroenews.com/news/article/can-yogurt-reduce-the-risk-of-type-2-diabetes-19441883.php</v>
      </c>
      <c r="C1295" s="2" t="s">
        <v>1702</v>
      </c>
      <c r="D1295" s="3">
        <v>45418.504386574074</v>
      </c>
      <c r="E1295" s="2" t="s">
        <v>70</v>
      </c>
    </row>
    <row r="1296" spans="1:5" ht="42" x14ac:dyDescent="0.2">
      <c r="A1296" s="2" t="s">
        <v>143</v>
      </c>
      <c r="B1296" s="2" t="str">
        <f>HYPERLINK("https://www.bigrapidsnews.com/news/article/can-yogurt-reduce-the-risk-of-type-2-diabetes-19441883.php")</f>
        <v>https://www.bigrapidsnews.com/news/article/can-yogurt-reduce-the-risk-of-type-2-diabetes-19441883.php</v>
      </c>
      <c r="C1296" s="2" t="s">
        <v>1771</v>
      </c>
      <c r="D1296" s="3">
        <v>45418.504386574074</v>
      </c>
      <c r="E1296" s="2" t="s">
        <v>70</v>
      </c>
    </row>
    <row r="1297" spans="1:5" ht="42" x14ac:dyDescent="0.2">
      <c r="A1297" s="2" t="s">
        <v>143</v>
      </c>
      <c r="B1297" s="2" t="str">
        <f>HYPERLINK("https://www.manisteenews.com/news/article/can-yogurt-reduce-the-risk-of-type-2-diabetes-19441883.php")</f>
        <v>https://www.manisteenews.com/news/article/can-yogurt-reduce-the-risk-of-type-2-diabetes-19441883.php</v>
      </c>
      <c r="C1297" s="2" t="s">
        <v>1776</v>
      </c>
      <c r="D1297" s="3">
        <v>45418.504386574074</v>
      </c>
      <c r="E1297" s="2" t="s">
        <v>70</v>
      </c>
    </row>
    <row r="1298" spans="1:5" ht="154" x14ac:dyDescent="0.2">
      <c r="A1298" s="2" t="s">
        <v>143</v>
      </c>
      <c r="B1298" s="2" t="str">
        <f>HYPERLINK("https://www.binghamtonhomepage.com/life-health/health/ap-can-yogurt-reduce-the-risk-of-type-2-diabetes/")</f>
        <v>https://www.binghamtonhomepage.com/life-health/health/ap-can-yogurt-reduce-the-risk-of-type-2-diabetes/</v>
      </c>
      <c r="C1298" s="2" t="s">
        <v>1895</v>
      </c>
      <c r="D1298" s="3">
        <v>45418.504386574074</v>
      </c>
      <c r="E1298" s="2" t="s">
        <v>1661</v>
      </c>
    </row>
    <row r="1299" spans="1:5" ht="126" x14ac:dyDescent="0.2">
      <c r="A1299" s="2" t="s">
        <v>143</v>
      </c>
      <c r="B1299" s="2" t="str">
        <f>HYPERLINK("https://www.fox44news.com/news/ap-can-yogurt-reduce-the-risk-of-type-2-diabetes/")</f>
        <v>https://www.fox44news.com/news/ap-can-yogurt-reduce-the-risk-of-type-2-diabetes/</v>
      </c>
      <c r="C1299" s="2" t="s">
        <v>2003</v>
      </c>
      <c r="D1299" s="3">
        <v>45418.504386574074</v>
      </c>
      <c r="E1299" s="2" t="s">
        <v>291</v>
      </c>
    </row>
    <row r="1300" spans="1:5" ht="126" x14ac:dyDescent="0.2">
      <c r="A1300" s="2" t="s">
        <v>143</v>
      </c>
      <c r="B1300" s="2" t="str">
        <f>HYPERLINK("https://www.myhighplains.com/news/for-your-health/ap-can-yogurt-reduce-the-risk-of-type-2-diabetes/")</f>
        <v>https://www.myhighplains.com/news/for-your-health/ap-can-yogurt-reduce-the-risk-of-type-2-diabetes/</v>
      </c>
      <c r="C1300" s="2" t="s">
        <v>2110</v>
      </c>
      <c r="D1300" s="3">
        <v>45418.504386574074</v>
      </c>
      <c r="E1300" s="2" t="s">
        <v>291</v>
      </c>
    </row>
    <row r="1301" spans="1:5" ht="154" x14ac:dyDescent="0.2">
      <c r="A1301" s="2" t="s">
        <v>143</v>
      </c>
      <c r="B1301" s="2" t="str">
        <f>HYPERLINK("https://www.mypanhandle.com/health/ap-can-yogurt-reduce-the-risk-of-type-2-diabetes/")</f>
        <v>https://www.mypanhandle.com/health/ap-can-yogurt-reduce-the-risk-of-type-2-diabetes/</v>
      </c>
      <c r="C1301" s="2" t="s">
        <v>2154</v>
      </c>
      <c r="D1301" s="3">
        <v>45418.504386574074</v>
      </c>
      <c r="E1301" s="2" t="s">
        <v>1661</v>
      </c>
    </row>
    <row r="1302" spans="1:5" ht="154" x14ac:dyDescent="0.2">
      <c r="A1302" s="2" t="s">
        <v>143</v>
      </c>
      <c r="B1302" s="2" t="str">
        <f>HYPERLINK("https://www.tristatehomepage.com/news/health/ap-health/ap-can-yogurt-reduce-the-risk-of-type-2-diabetes/")</f>
        <v>https://www.tristatehomepage.com/news/health/ap-health/ap-can-yogurt-reduce-the-risk-of-type-2-diabetes/</v>
      </c>
      <c r="C1302" s="2" t="s">
        <v>2252</v>
      </c>
      <c r="D1302" s="3">
        <v>45418.504386574074</v>
      </c>
      <c r="E1302" s="2" t="s">
        <v>1661</v>
      </c>
    </row>
    <row r="1303" spans="1:5" ht="126" x14ac:dyDescent="0.2">
      <c r="A1303" s="2" t="s">
        <v>143</v>
      </c>
      <c r="B1303" s="2" t="str">
        <f>HYPERLINK("https://www.bigcountryhomepage.com/news/health-news/ap-can-yogurt-reduce-the-risk-of-type-2-diabetes/")</f>
        <v>https://www.bigcountryhomepage.com/news/health-news/ap-can-yogurt-reduce-the-risk-of-type-2-diabetes/</v>
      </c>
      <c r="C1303" s="2" t="s">
        <v>2239</v>
      </c>
      <c r="D1303" s="3">
        <v>45418.504386574074</v>
      </c>
      <c r="E1303" s="2" t="s">
        <v>291</v>
      </c>
    </row>
    <row r="1304" spans="1:5" ht="126" x14ac:dyDescent="0.2">
      <c r="A1304" s="2" t="s">
        <v>143</v>
      </c>
      <c r="B1304" s="2" t="str">
        <f>HYPERLINK("https://www.everythinglubbock.com/news/health/ap-can-yogurt-reduce-the-risk-of-type-2-diabetes/")</f>
        <v>https://www.everythinglubbock.com/news/health/ap-can-yogurt-reduce-the-risk-of-type-2-diabetes/</v>
      </c>
      <c r="C1304" s="2" t="s">
        <v>2270</v>
      </c>
      <c r="D1304" s="3">
        <v>45418.504386574074</v>
      </c>
      <c r="E1304" s="2" t="s">
        <v>291</v>
      </c>
    </row>
    <row r="1305" spans="1:5" ht="154" x14ac:dyDescent="0.2">
      <c r="A1305" s="2" t="s">
        <v>143</v>
      </c>
      <c r="B1305" s="2" t="str">
        <f>HYPERLINK("https://www.centralillinoisproud.com/news/health-news/ap-can-yogurt-reduce-the-risk-of-type-2-diabetes/")</f>
        <v>https://www.centralillinoisproud.com/news/health-news/ap-can-yogurt-reduce-the-risk-of-type-2-diabetes/</v>
      </c>
      <c r="C1305" s="2" t="s">
        <v>2320</v>
      </c>
      <c r="D1305" s="3">
        <v>45418.504386574074</v>
      </c>
      <c r="E1305" s="2" t="s">
        <v>1661</v>
      </c>
    </row>
    <row r="1306" spans="1:5" ht="126" x14ac:dyDescent="0.2">
      <c r="A1306" s="2" t="s">
        <v>143</v>
      </c>
      <c r="B1306" s="2" t="str">
        <f>HYPERLINK("https://www.ketk.com/news/health/ap-can-yogurt-reduce-the-risk-of-type-2-diabetes/")</f>
        <v>https://www.ketk.com/news/health/ap-can-yogurt-reduce-the-risk-of-type-2-diabetes/</v>
      </c>
      <c r="C1306" s="2" t="s">
        <v>2338</v>
      </c>
      <c r="D1306" s="3">
        <v>45418.504386574074</v>
      </c>
      <c r="E1306" s="2" t="s">
        <v>291</v>
      </c>
    </row>
    <row r="1307" spans="1:5" ht="154" x14ac:dyDescent="0.2">
      <c r="A1307" s="2" t="s">
        <v>143</v>
      </c>
      <c r="B1307" s="2" t="str">
        <f>HYPERLINK("https://www.mytwintiers.com/news-cat/health-news/ap-can-yogurt-reduce-the-risk-of-type-2-diabetes/")</f>
        <v>https://www.mytwintiers.com/news-cat/health-news/ap-can-yogurt-reduce-the-risk-of-type-2-diabetes/</v>
      </c>
      <c r="C1307" s="2" t="s">
        <v>2395</v>
      </c>
      <c r="D1307" s="3">
        <v>45418.504386574074</v>
      </c>
      <c r="E1307" s="2" t="s">
        <v>1661</v>
      </c>
    </row>
    <row r="1308" spans="1:5" ht="154" x14ac:dyDescent="0.2">
      <c r="A1308" s="2" t="s">
        <v>143</v>
      </c>
      <c r="B1308" s="2" t="str">
        <f>HYPERLINK("https://www.wowktv.com/news/u-s-world/ap-can-yogurt-reduce-the-risk-of-type-2-diabetes/")</f>
        <v>https://www.wowktv.com/news/u-s-world/ap-can-yogurt-reduce-the-risk-of-type-2-diabetes/</v>
      </c>
      <c r="C1308" s="2" t="s">
        <v>2459</v>
      </c>
      <c r="D1308" s="3">
        <v>45418.504386574074</v>
      </c>
      <c r="E1308" s="2" t="s">
        <v>1661</v>
      </c>
    </row>
    <row r="1309" spans="1:5" ht="154" x14ac:dyDescent="0.2">
      <c r="A1309" s="2" t="s">
        <v>143</v>
      </c>
      <c r="B1309" s="2" t="str">
        <f>HYPERLINK("https://www.wjtv.com/living-local/focused-on-health/ap-can-yogurt-reduce-the-risk-of-type-2-diabetes/")</f>
        <v>https://www.wjtv.com/living-local/focused-on-health/ap-can-yogurt-reduce-the-risk-of-type-2-diabetes/</v>
      </c>
      <c r="C1309" s="2" t="s">
        <v>2492</v>
      </c>
      <c r="D1309" s="3">
        <v>45418.504386574074</v>
      </c>
      <c r="E1309" s="2" t="s">
        <v>1661</v>
      </c>
    </row>
    <row r="1310" spans="1:5" ht="154" x14ac:dyDescent="0.2">
      <c r="A1310" s="2" t="s">
        <v>143</v>
      </c>
      <c r="B1310" s="2" t="str">
        <f>HYPERLINK("https://www.localsyr.com/health/ap-can-yogurt-reduce-the-risk-of-type-2-diabetes/")</f>
        <v>https://www.localsyr.com/health/ap-can-yogurt-reduce-the-risk-of-type-2-diabetes/</v>
      </c>
      <c r="C1310" s="2" t="s">
        <v>2559</v>
      </c>
      <c r="D1310" s="3">
        <v>45418.504386574074</v>
      </c>
      <c r="E1310" s="2" t="s">
        <v>1661</v>
      </c>
    </row>
    <row r="1311" spans="1:5" ht="154" x14ac:dyDescent="0.2">
      <c r="A1311" s="2" t="s">
        <v>143</v>
      </c>
      <c r="B1311" s="2" t="str">
        <f>HYPERLINK("https://www.wivb.com/health/ap-can-yogurt-reduce-the-risk-of-type-2-diabetes/")</f>
        <v>https://www.wivb.com/health/ap-can-yogurt-reduce-the-risk-of-type-2-diabetes/</v>
      </c>
      <c r="C1311" s="2" t="s">
        <v>2625</v>
      </c>
      <c r="D1311" s="3">
        <v>45418.504386574074</v>
      </c>
      <c r="E1311" s="2" t="s">
        <v>1661</v>
      </c>
    </row>
    <row r="1312" spans="1:5" ht="154" x14ac:dyDescent="0.2">
      <c r="A1312" s="2" t="s">
        <v>143</v>
      </c>
      <c r="B1312" s="2" t="str">
        <f>HYPERLINK("https://www.wboy.com/news/health/ap-can-yogurt-reduce-the-risk-of-type-2-diabetes/")</f>
        <v>https://www.wboy.com/news/health/ap-can-yogurt-reduce-the-risk-of-type-2-diabetes/</v>
      </c>
      <c r="C1312" s="2" t="s">
        <v>2599</v>
      </c>
      <c r="D1312" s="3">
        <v>45418.504386574074</v>
      </c>
      <c r="E1312" s="2" t="s">
        <v>1661</v>
      </c>
    </row>
    <row r="1313" spans="1:5" ht="154" x14ac:dyDescent="0.2">
      <c r="A1313" s="2" t="s">
        <v>143</v>
      </c>
      <c r="B1313" s="2" t="str">
        <f>HYPERLINK("https://www.keloland.com/news/healthbeat/ap-health/ap-can-yogurt-reduce-the-risk-of-type-2-diabetes/")</f>
        <v>https://www.keloland.com/news/healthbeat/ap-health/ap-can-yogurt-reduce-the-risk-of-type-2-diabetes/</v>
      </c>
      <c r="C1313" s="2" t="s">
        <v>2712</v>
      </c>
      <c r="D1313" s="3">
        <v>45418.504386574074</v>
      </c>
      <c r="E1313" s="2" t="s">
        <v>1661</v>
      </c>
    </row>
    <row r="1314" spans="1:5" ht="154" x14ac:dyDescent="0.2">
      <c r="A1314" s="2" t="s">
        <v>143</v>
      </c>
      <c r="B1314" s="2" t="str">
        <f>HYPERLINK("https://www.ksn.com/news/health/ap-can-yogurt-reduce-the-risk-of-type-2-diabetes/")</f>
        <v>https://www.ksn.com/news/health/ap-can-yogurt-reduce-the-risk-of-type-2-diabetes/</v>
      </c>
      <c r="C1314" s="2" t="s">
        <v>2731</v>
      </c>
      <c r="D1314" s="3">
        <v>45418.504386574074</v>
      </c>
      <c r="E1314" s="2" t="s">
        <v>1661</v>
      </c>
    </row>
    <row r="1315" spans="1:5" ht="154" x14ac:dyDescent="0.2">
      <c r="A1315" s="2" t="s">
        <v>143</v>
      </c>
      <c r="B1315" s="2" t="str">
        <f>HYPERLINK("https://www.rochesterfirst.com/news/health/ap-can-yogurt-reduce-the-risk-of-type-2-diabetes/")</f>
        <v>https://www.rochesterfirst.com/news/health/ap-can-yogurt-reduce-the-risk-of-type-2-diabetes/</v>
      </c>
      <c r="C1315" s="2" t="s">
        <v>2631</v>
      </c>
      <c r="D1315" s="3">
        <v>45418.504386574074</v>
      </c>
      <c r="E1315" s="2" t="s">
        <v>1661</v>
      </c>
    </row>
    <row r="1316" spans="1:5" ht="154" x14ac:dyDescent="0.2">
      <c r="A1316" s="2" t="s">
        <v>2782</v>
      </c>
      <c r="B1316" s="2" t="str">
        <f>HYPERLINK("https://www.wkbn.com/news/national-world/ap-can-yogurt-reduce-the-risk-of-type-2-diabetes/")</f>
        <v>https://www.wkbn.com/news/national-world/ap-can-yogurt-reduce-the-risk-of-type-2-diabetes/</v>
      </c>
      <c r="C1316" s="2" t="s">
        <v>2783</v>
      </c>
      <c r="D1316" s="3">
        <v>45418.504386574074</v>
      </c>
      <c r="E1316" s="2" t="s">
        <v>1661</v>
      </c>
    </row>
    <row r="1317" spans="1:5" ht="126" x14ac:dyDescent="0.2">
      <c r="A1317" s="2" t="s">
        <v>143</v>
      </c>
      <c r="B1317" s="2" t="str">
        <f>HYPERLINK("https://www.wpri.com/health/ap-health/ap-can-yogurt-reduce-the-risk-of-type-2-diabetes/")</f>
        <v>https://www.wpri.com/health/ap-health/ap-can-yogurt-reduce-the-risk-of-type-2-diabetes/</v>
      </c>
      <c r="C1317" s="2" t="s">
        <v>2821</v>
      </c>
      <c r="D1317" s="3">
        <v>45418.504386574074</v>
      </c>
      <c r="E1317" s="2" t="s">
        <v>291</v>
      </c>
    </row>
    <row r="1318" spans="1:5" ht="182" x14ac:dyDescent="0.2">
      <c r="A1318" s="2" t="s">
        <v>143</v>
      </c>
      <c r="B1318" s="2" t="str">
        <f>HYPERLINK("https://baynews9.com/fl/tampa/ap-top-news/2024/05/06/can-yogurt-reduce-the-risk-of-type-2-diabetes")</f>
        <v>https://baynews9.com/fl/tampa/ap-top-news/2024/05/06/can-yogurt-reduce-the-risk-of-type-2-diabetes</v>
      </c>
      <c r="C1318" s="2" t="s">
        <v>2852</v>
      </c>
      <c r="D1318" s="3">
        <v>45418.504386574074</v>
      </c>
      <c r="E1318" s="2" t="s">
        <v>144</v>
      </c>
    </row>
    <row r="1319" spans="1:5" ht="154" x14ac:dyDescent="0.2">
      <c r="A1319" s="2" t="s">
        <v>143</v>
      </c>
      <c r="B1319" s="2" t="str">
        <f>HYPERLINK("https://www.wtnh.com/news/health/ap-can-yogurt-reduce-the-risk-of-type-2-diabetes/")</f>
        <v>https://www.wtnh.com/news/health/ap-can-yogurt-reduce-the-risk-of-type-2-diabetes/</v>
      </c>
      <c r="C1319" s="2" t="s">
        <v>2859</v>
      </c>
      <c r="D1319" s="3">
        <v>45418.504386574074</v>
      </c>
      <c r="E1319" s="2" t="s">
        <v>1661</v>
      </c>
    </row>
    <row r="1320" spans="1:5" ht="126" x14ac:dyDescent="0.2">
      <c r="A1320" s="2" t="s">
        <v>143</v>
      </c>
      <c r="B1320" s="2" t="str">
        <f>HYPERLINK("https://www.wric.com/health/ap-can-yogurt-reduce-the-risk-of-type-2-diabetes/")</f>
        <v>https://www.wric.com/health/ap-can-yogurt-reduce-the-risk-of-type-2-diabetes/</v>
      </c>
      <c r="C1320" s="2" t="s">
        <v>2865</v>
      </c>
      <c r="D1320" s="3">
        <v>45418.504386574074</v>
      </c>
      <c r="E1320" s="2" t="s">
        <v>2893</v>
      </c>
    </row>
    <row r="1321" spans="1:5" ht="126" x14ac:dyDescent="0.2">
      <c r="A1321" s="2" t="s">
        <v>143</v>
      </c>
      <c r="B1321" s="2" t="str">
        <f>HYPERLINK("https://kfor.com/news/health/ap-health/ap-can-yogurt-reduce-the-risk-of-type-2-diabetes/")</f>
        <v>https://kfor.com/news/health/ap-health/ap-can-yogurt-reduce-the-risk-of-type-2-diabetes/</v>
      </c>
      <c r="C1321" s="2" t="s">
        <v>2917</v>
      </c>
      <c r="D1321" s="3">
        <v>45418.504386574074</v>
      </c>
      <c r="E1321" s="2" t="s">
        <v>291</v>
      </c>
    </row>
    <row r="1322" spans="1:5" ht="154" x14ac:dyDescent="0.2">
      <c r="A1322" s="2" t="s">
        <v>143</v>
      </c>
      <c r="B1322" s="2" t="str">
        <f>HYPERLINK("https://myfox8.com/news/health/ap-health/ap-can-yogurt-reduce-the-risk-of-type-2-diabetes/")</f>
        <v>https://myfox8.com/news/health/ap-health/ap-can-yogurt-reduce-the-risk-of-type-2-diabetes/</v>
      </c>
      <c r="C1322" s="2" t="s">
        <v>2969</v>
      </c>
      <c r="D1322" s="3">
        <v>45418.504386574074</v>
      </c>
      <c r="E1322" s="2" t="s">
        <v>1661</v>
      </c>
    </row>
    <row r="1323" spans="1:5" ht="126" x14ac:dyDescent="0.2">
      <c r="A1323" s="2" t="s">
        <v>143</v>
      </c>
      <c r="B1323" s="2" t="str">
        <f>HYPERLINK("https://www.wavy.com/news/health/ap-can-yogurt-reduce-the-risk-of-type-2-diabetes/")</f>
        <v>https://www.wavy.com/news/health/ap-can-yogurt-reduce-the-risk-of-type-2-diabetes/</v>
      </c>
      <c r="C1323" s="2" t="s">
        <v>2979</v>
      </c>
      <c r="D1323" s="3">
        <v>45418.504386574074</v>
      </c>
      <c r="E1323" s="2" t="s">
        <v>291</v>
      </c>
    </row>
    <row r="1324" spans="1:5" ht="42" x14ac:dyDescent="0.2">
      <c r="A1324" s="2" t="s">
        <v>143</v>
      </c>
      <c r="B1324" s="2" t="str">
        <f>HYPERLINK("https://www.ctinsider.com/news/article/can-yogurt-reduce-the-risk-of-type-2-diabetes-19441883.php")</f>
        <v>https://www.ctinsider.com/news/article/can-yogurt-reduce-the-risk-of-type-2-diabetes-19441883.php</v>
      </c>
      <c r="C1324" s="2" t="s">
        <v>2986</v>
      </c>
      <c r="D1324" s="3">
        <v>45418.504386574074</v>
      </c>
      <c r="E1324" s="2" t="s">
        <v>70</v>
      </c>
    </row>
    <row r="1325" spans="1:5" ht="154" x14ac:dyDescent="0.2">
      <c r="A1325" s="2" t="s">
        <v>143</v>
      </c>
      <c r="B1325" s="2" t="str">
        <f>HYPERLINK("https://www.abc27.com/news/health/ap-health/ap-can-yogurt-reduce-the-risk-of-type-2-diabetes/")</f>
        <v>https://www.abc27.com/news/health/ap-health/ap-can-yogurt-reduce-the-risk-of-type-2-diabetes/</v>
      </c>
      <c r="C1325" s="2" t="s">
        <v>2935</v>
      </c>
      <c r="D1325" s="3">
        <v>45418.504386574074</v>
      </c>
      <c r="E1325" s="2" t="s">
        <v>1661</v>
      </c>
    </row>
    <row r="1326" spans="1:5" ht="126" x14ac:dyDescent="0.2">
      <c r="A1326" s="2" t="s">
        <v>143</v>
      </c>
      <c r="B1326" s="2" t="str">
        <f>HYPERLINK("https://www.abc4.com/news/health/ap-health/ap-can-yogurt-reduce-the-risk-of-type-2-diabetes/")</f>
        <v>https://www.abc4.com/news/health/ap-health/ap-can-yogurt-reduce-the-risk-of-type-2-diabetes/</v>
      </c>
      <c r="C1326" s="2" t="s">
        <v>3019</v>
      </c>
      <c r="D1326" s="3">
        <v>45418.504386574074</v>
      </c>
      <c r="E1326" s="2" t="s">
        <v>291</v>
      </c>
    </row>
    <row r="1327" spans="1:5" ht="126" x14ac:dyDescent="0.2">
      <c r="A1327" s="2" t="s">
        <v>143</v>
      </c>
      <c r="B1327" s="2" t="str">
        <f>HYPERLINK("https://www.koin.com/news/health/ap-health/ap-can-yogurt-reduce-the-risk-of-type-2-diabetes/")</f>
        <v>https://www.koin.com/news/health/ap-health/ap-can-yogurt-reduce-the-risk-of-type-2-diabetes/</v>
      </c>
      <c r="C1327" s="2" t="s">
        <v>3015</v>
      </c>
      <c r="D1327" s="3">
        <v>45418.504386574074</v>
      </c>
      <c r="E1327" s="2" t="s">
        <v>291</v>
      </c>
    </row>
    <row r="1328" spans="1:5" ht="126" x14ac:dyDescent="0.2">
      <c r="A1328" s="2" t="s">
        <v>143</v>
      </c>
      <c r="B1328" s="2" t="str">
        <f>HYPERLINK("https://fox5sandiego.com/news/health/ap-health/ap-can-yogurt-reduce-the-risk-of-type-2-diabetes/")</f>
        <v>https://fox5sandiego.com/news/health/ap-health/ap-can-yogurt-reduce-the-risk-of-type-2-diabetes/</v>
      </c>
      <c r="C1328" s="2" t="s">
        <v>3066</v>
      </c>
      <c r="D1328" s="3">
        <v>45418.504386574074</v>
      </c>
      <c r="E1328" s="2" t="s">
        <v>2893</v>
      </c>
    </row>
    <row r="1329" spans="1:5" ht="126" x14ac:dyDescent="0.2">
      <c r="A1329" s="2" t="s">
        <v>143</v>
      </c>
      <c r="B1329" s="2" t="str">
        <f>HYPERLINK("https://www.houstonchronicle.com/news/article/can-yogurt-reduce-the-risk-of-type-2-diabetes-19441883.php")</f>
        <v>https://www.houstonchronicle.com/news/article/can-yogurt-reduce-the-risk-of-type-2-diabetes-19441883.php</v>
      </c>
      <c r="C1329" s="2" t="s">
        <v>3145</v>
      </c>
      <c r="D1329" s="3">
        <v>45418.504386574074</v>
      </c>
      <c r="E1329" s="2" t="s">
        <v>291</v>
      </c>
    </row>
    <row r="1330" spans="1:5" ht="98" x14ac:dyDescent="0.2">
      <c r="A1330" s="2" t="s">
        <v>143</v>
      </c>
      <c r="B1330" s="2" t="str">
        <f>HYPERLINK("https://wgntv.com/news/medical-watch/ap-can-yogurt-reduce-the-risk-of-type-2-diabetes/")</f>
        <v>https://wgntv.com/news/medical-watch/ap-can-yogurt-reduce-the-risk-of-type-2-diabetes/</v>
      </c>
      <c r="C1330" s="2" t="s">
        <v>3128</v>
      </c>
      <c r="D1330" s="3">
        <v>45418.504386574074</v>
      </c>
      <c r="E1330" s="2" t="s">
        <v>875</v>
      </c>
    </row>
    <row r="1331" spans="1:5" ht="154" x14ac:dyDescent="0.2">
      <c r="A1331" s="2" t="s">
        <v>143</v>
      </c>
      <c r="B1331" s="2" t="str">
        <f>HYPERLINK("https://fox8.com/news/health/ap-health/ap-can-yogurt-reduce-the-risk-of-type-2-diabetes/")</f>
        <v>https://fox8.com/news/health/ap-health/ap-can-yogurt-reduce-the-risk-of-type-2-diabetes/</v>
      </c>
      <c r="C1331" s="2" t="s">
        <v>3339</v>
      </c>
      <c r="D1331" s="3">
        <v>45418.504386574074</v>
      </c>
      <c r="E1331" s="2" t="s">
        <v>1661</v>
      </c>
    </row>
    <row r="1332" spans="1:5" ht="126" x14ac:dyDescent="0.2">
      <c r="A1332" s="2" t="s">
        <v>143</v>
      </c>
      <c r="B1332" s="2" t="str">
        <f>HYPERLINK("https://www.newsnationnow.com/health/health-headlines/ap-can-yogurt-reduce-the-risk-of-type-2-diabetes/")</f>
        <v>https://www.newsnationnow.com/health/health-headlines/ap-can-yogurt-reduce-the-risk-of-type-2-diabetes/</v>
      </c>
      <c r="C1332" s="2" t="s">
        <v>3377</v>
      </c>
      <c r="D1332" s="3">
        <v>45418.504386574074</v>
      </c>
      <c r="E1332" s="2" t="s">
        <v>291</v>
      </c>
    </row>
    <row r="1333" spans="1:5" ht="182" x14ac:dyDescent="0.2">
      <c r="A1333" s="2" t="s">
        <v>143</v>
      </c>
      <c r="B1333" s="2" t="str">
        <f>HYPERLINK("https://www.airdriecityview.com/lifestyle/can-yogurt-reduce-the-risk-of-type-2-diabetes-8703369")</f>
        <v>https://www.airdriecityview.com/lifestyle/can-yogurt-reduce-the-risk-of-type-2-diabetes-8703369</v>
      </c>
      <c r="C1333" s="2" t="s">
        <v>92</v>
      </c>
      <c r="D1333" s="3">
        <v>45418.505162037043</v>
      </c>
      <c r="E1333" s="2" t="s">
        <v>144</v>
      </c>
    </row>
    <row r="1334" spans="1:5" ht="182" x14ac:dyDescent="0.2">
      <c r="A1334" s="2" t="s">
        <v>143</v>
      </c>
      <c r="B1334" s="2" t="str">
        <f>HYPERLINK("https://www.empireadvance.ca/the-mix/can-yogurt-reduce-the-risk-of-type-2-diabetes-8703506")</f>
        <v>https://www.empireadvance.ca/the-mix/can-yogurt-reduce-the-risk-of-type-2-diabetes-8703506</v>
      </c>
      <c r="C1334" s="2" t="s">
        <v>622</v>
      </c>
      <c r="D1334" s="3">
        <v>45418.505162037043</v>
      </c>
      <c r="E1334" s="2" t="s">
        <v>144</v>
      </c>
    </row>
    <row r="1335" spans="1:5" ht="182" x14ac:dyDescent="0.2">
      <c r="A1335" s="2" t="s">
        <v>143</v>
      </c>
      <c r="B1335" s="2" t="str">
        <f>HYPERLINK("https://www.mountainviewtoday.ca/lifestyle/can-yogurt-reduce-the-risk-of-type-2-diabetes-8703369")</f>
        <v>https://www.mountainviewtoday.ca/lifestyle/can-yogurt-reduce-the-risk-of-type-2-diabetes-8703369</v>
      </c>
      <c r="C1335" s="2" t="s">
        <v>855</v>
      </c>
      <c r="D1335" s="3">
        <v>45418.505162037043</v>
      </c>
      <c r="E1335" s="2" t="s">
        <v>144</v>
      </c>
    </row>
    <row r="1336" spans="1:5" ht="182" x14ac:dyDescent="0.2">
      <c r="A1336" s="2" t="s">
        <v>143</v>
      </c>
      <c r="B1336" s="2" t="str">
        <f>HYPERLINK("https://www.thereminder.ca/the-mix/can-yogurt-reduce-the-risk-of-type-2-diabetes-8703506")</f>
        <v>https://www.thereminder.ca/the-mix/can-yogurt-reduce-the-risk-of-type-2-diabetes-8703506</v>
      </c>
      <c r="C1336" s="2" t="s">
        <v>947</v>
      </c>
      <c r="D1336" s="3">
        <v>45418.505162037043</v>
      </c>
      <c r="E1336" s="2" t="s">
        <v>144</v>
      </c>
    </row>
    <row r="1337" spans="1:5" ht="182" x14ac:dyDescent="0.2">
      <c r="A1337" s="2" t="s">
        <v>143</v>
      </c>
      <c r="B1337" s="2" t="str">
        <f>HYPERLINK("https://www.prpeak.com/the-mix/can-yogurt-reduce-the-risk-of-type-2-diabetes-8703506")</f>
        <v>https://www.prpeak.com/the-mix/can-yogurt-reduce-the-risk-of-type-2-diabetes-8703506</v>
      </c>
      <c r="C1337" s="2" t="s">
        <v>1469</v>
      </c>
      <c r="D1337" s="3">
        <v>45418.505162037043</v>
      </c>
      <c r="E1337" s="2" t="s">
        <v>144</v>
      </c>
    </row>
    <row r="1338" spans="1:5" ht="182" x14ac:dyDescent="0.2">
      <c r="A1338" s="2" t="s">
        <v>143</v>
      </c>
      <c r="B1338" s="2" t="str">
        <f>HYPERLINK("https://www.fitzhugh.ca/national-lifestyle/can-yogurt-reduce-the-risk-of-type-2-diabetes-8703369")</f>
        <v>https://www.fitzhugh.ca/national-lifestyle/can-yogurt-reduce-the-risk-of-type-2-diabetes-8703369</v>
      </c>
      <c r="C1338" s="2" t="s">
        <v>1537</v>
      </c>
      <c r="D1338" s="3">
        <v>45418.505162037043</v>
      </c>
      <c r="E1338" s="2" t="s">
        <v>144</v>
      </c>
    </row>
    <row r="1339" spans="1:5" ht="182" x14ac:dyDescent="0.2">
      <c r="A1339" s="2" t="s">
        <v>143</v>
      </c>
      <c r="B1339" s="2" t="str">
        <f>HYPERLINK("https://www.townandcountrytoday.com/lifestyle/can-yogurt-reduce-the-risk-of-type-2-diabetes-8703369")</f>
        <v>https://www.townandcountrytoday.com/lifestyle/can-yogurt-reduce-the-risk-of-type-2-diabetes-8703369</v>
      </c>
      <c r="C1339" s="2" t="s">
        <v>1494</v>
      </c>
      <c r="D1339" s="3">
        <v>45418.505162037043</v>
      </c>
      <c r="E1339" s="2" t="s">
        <v>144</v>
      </c>
    </row>
    <row r="1340" spans="1:5" ht="182" x14ac:dyDescent="0.2">
      <c r="A1340" s="2" t="s">
        <v>143</v>
      </c>
      <c r="B1340" s="2" t="str">
        <f>HYPERLINK("https://www.lakelandtoday.ca/lifestyle/can-yogurt-reduce-the-risk-of-type-2-diabetes-8703369")</f>
        <v>https://www.lakelandtoday.ca/lifestyle/can-yogurt-reduce-the-risk-of-type-2-diabetes-8703369</v>
      </c>
      <c r="C1340" s="2" t="s">
        <v>1692</v>
      </c>
      <c r="D1340" s="3">
        <v>45418.505162037043</v>
      </c>
      <c r="E1340" s="2" t="s">
        <v>144</v>
      </c>
    </row>
    <row r="1341" spans="1:5" ht="182" x14ac:dyDescent="0.2">
      <c r="A1341" s="2" t="s">
        <v>143</v>
      </c>
      <c r="B1341" s="2" t="str">
        <f>HYPERLINK("https://www.piquenewsmagazine.com/the-mix/can-yogurt-reduce-the-risk-of-type-2-diabetes-8703506")</f>
        <v>https://www.piquenewsmagazine.com/the-mix/can-yogurt-reduce-the-risk-of-type-2-diabetes-8703506</v>
      </c>
      <c r="C1341" s="2" t="s">
        <v>2072</v>
      </c>
      <c r="D1341" s="3">
        <v>45418.505162037043</v>
      </c>
      <c r="E1341" s="2" t="s">
        <v>144</v>
      </c>
    </row>
    <row r="1342" spans="1:5" ht="182" x14ac:dyDescent="0.2">
      <c r="A1342" s="2" t="s">
        <v>143</v>
      </c>
      <c r="B1342" s="2" t="str">
        <f>HYPERLINK("https://www.squamishchief.com/the-mix/can-yogurt-reduce-the-risk-of-type-2-diabetes-8703506")</f>
        <v>https://www.squamishchief.com/the-mix/can-yogurt-reduce-the-risk-of-type-2-diabetes-8703506</v>
      </c>
      <c r="C1342" s="2" t="s">
        <v>1993</v>
      </c>
      <c r="D1342" s="3">
        <v>45418.505162037043</v>
      </c>
      <c r="E1342" s="2" t="s">
        <v>144</v>
      </c>
    </row>
    <row r="1343" spans="1:5" ht="182" x14ac:dyDescent="0.2">
      <c r="A1343" s="2" t="s">
        <v>143</v>
      </c>
      <c r="B1343" s="2" t="str">
        <f>HYPERLINK("https://www.westernwheel.ca/lifestyle/can-yogurt-reduce-the-risk-of-type-2-diabetes-8703369")</f>
        <v>https://www.westernwheel.ca/lifestyle/can-yogurt-reduce-the-risk-of-type-2-diabetes-8703369</v>
      </c>
      <c r="C1343" s="2" t="s">
        <v>2123</v>
      </c>
      <c r="D1343" s="3">
        <v>45418.505162037043</v>
      </c>
      <c r="E1343" s="2" t="s">
        <v>144</v>
      </c>
    </row>
    <row r="1344" spans="1:5" ht="182" x14ac:dyDescent="0.2">
      <c r="A1344" s="2" t="s">
        <v>143</v>
      </c>
      <c r="B1344" s="2" t="str">
        <f>HYPERLINK("https://www.sasktoday.ca/the-mix/can-yogurt-reduce-the-risk-of-type-2-diabetes-8703506")</f>
        <v>https://www.sasktoday.ca/the-mix/can-yogurt-reduce-the-risk-of-type-2-diabetes-8703506</v>
      </c>
      <c r="C1344" s="2" t="s">
        <v>2124</v>
      </c>
      <c r="D1344" s="3">
        <v>45418.505162037043</v>
      </c>
      <c r="E1344" s="2" t="s">
        <v>144</v>
      </c>
    </row>
    <row r="1345" spans="1:5" ht="182" x14ac:dyDescent="0.2">
      <c r="A1345" s="2" t="s">
        <v>143</v>
      </c>
      <c r="B1345" s="2" t="str">
        <f>HYPERLINK("https://www.moosejawtoday.com/health/can-yogurt-reduce-the-risk-of-type-2-diabetes-8703522")</f>
        <v>https://www.moosejawtoday.com/health/can-yogurt-reduce-the-risk-of-type-2-diabetes-8703522</v>
      </c>
      <c r="C1345" s="2" t="s">
        <v>2203</v>
      </c>
      <c r="D1345" s="3">
        <v>45418.505162037043</v>
      </c>
      <c r="E1345" s="2" t="s">
        <v>144</v>
      </c>
    </row>
    <row r="1346" spans="1:5" ht="182" x14ac:dyDescent="0.2">
      <c r="A1346" s="2" t="s">
        <v>143</v>
      </c>
      <c r="B1346" s="2" t="str">
        <f>HYPERLINK("https://www.princegeorgecitizen.com/the-mix/can-yogurt-reduce-the-risk-of-type-2-diabetes-8703506")</f>
        <v>https://www.princegeorgecitizen.com/the-mix/can-yogurt-reduce-the-risk-of-type-2-diabetes-8703506</v>
      </c>
      <c r="C1346" s="2" t="s">
        <v>2290</v>
      </c>
      <c r="D1346" s="3">
        <v>45418.505162037043</v>
      </c>
      <c r="E1346" s="2" t="s">
        <v>144</v>
      </c>
    </row>
    <row r="1347" spans="1:5" ht="126" x14ac:dyDescent="0.2">
      <c r="A1347" s="2" t="s">
        <v>143</v>
      </c>
      <c r="B1347" s="2" t="str">
        <f>HYPERLINK("https://www.rmoutlook.com/lifestyle/can-yogurt-reduce-the-risk-of-type-2-diabetes-8703369")</f>
        <v>https://www.rmoutlook.com/lifestyle/can-yogurt-reduce-the-risk-of-type-2-diabetes-8703369</v>
      </c>
      <c r="C1347" s="2" t="s">
        <v>2257</v>
      </c>
      <c r="D1347" s="3">
        <v>45418.505162037043</v>
      </c>
      <c r="E1347" s="2" t="s">
        <v>550</v>
      </c>
    </row>
    <row r="1348" spans="1:5" ht="98" x14ac:dyDescent="0.2">
      <c r="A1348" s="2" t="s">
        <v>143</v>
      </c>
      <c r="B1348" s="2" t="str">
        <f>HYPERLINK("https://ca.news.yahoo.com/yogurt-reduce-risk-type-2-160726752.html")</f>
        <v>https://ca.news.yahoo.com/yogurt-reduce-risk-type-2-160726752.html</v>
      </c>
      <c r="C1348" s="2" t="s">
        <v>3097</v>
      </c>
      <c r="D1348" s="3">
        <v>45418.505162037043</v>
      </c>
      <c r="E1348" s="2" t="s">
        <v>875</v>
      </c>
    </row>
    <row r="1349" spans="1:5" ht="182" x14ac:dyDescent="0.2">
      <c r="A1349" s="2" t="s">
        <v>143</v>
      </c>
      <c r="B1349" s="2" t="str">
        <f>HYPERLINK("https://www.cochraneeagle.ca/lifestyle/can-yogurt-reduce-the-risk-of-type-2-diabetes-8703369")</f>
        <v>https://www.cochraneeagle.ca/lifestyle/can-yogurt-reduce-the-risk-of-type-2-diabetes-8703369</v>
      </c>
      <c r="C1349" s="2" t="s">
        <v>3895</v>
      </c>
      <c r="D1349" s="3">
        <v>45418.505162037043</v>
      </c>
      <c r="E1349" s="2" t="s">
        <v>144</v>
      </c>
    </row>
    <row r="1350" spans="1:5" ht="126" x14ac:dyDescent="0.2">
      <c r="A1350" s="2" t="s">
        <v>143</v>
      </c>
      <c r="B1350" s="2" t="str">
        <f>HYPERLINK("https://www.whio.com/news/health/can-yogurt-reduce/YVTG4YAYIJTVVXCX6WF7IMDOW4/")</f>
        <v>https://www.whio.com/news/health/can-yogurt-reduce/YVTG4YAYIJTVVXCX6WF7IMDOW4/</v>
      </c>
      <c r="C1350" s="2" t="s">
        <v>2796</v>
      </c>
      <c r="D1350" s="3">
        <v>45418.507013888891</v>
      </c>
      <c r="E1350" s="2" t="s">
        <v>550</v>
      </c>
    </row>
    <row r="1351" spans="1:5" ht="126" x14ac:dyDescent="0.2">
      <c r="A1351" s="2" t="s">
        <v>143</v>
      </c>
      <c r="B1351" s="2" t="str">
        <f>HYPERLINK("https://www.kiro7.com/news/health/can-yogurt-reduce/YVTG4YAYIJTVVXCX6WF7IMDOW4/")</f>
        <v>https://www.kiro7.com/news/health/can-yogurt-reduce/YVTG4YAYIJTVVXCX6WF7IMDOW4/</v>
      </c>
      <c r="C1351" s="2" t="s">
        <v>3018</v>
      </c>
      <c r="D1351" s="3">
        <v>45418.507013888891</v>
      </c>
      <c r="E1351" s="2" t="s">
        <v>550</v>
      </c>
    </row>
    <row r="1352" spans="1:5" ht="126" x14ac:dyDescent="0.2">
      <c r="A1352" s="2" t="s">
        <v>143</v>
      </c>
      <c r="B1352" s="2" t="str">
        <f>HYPERLINK("https://apnews.com/article/yogurt-diabetes-qualified-health-claim-dannon-1220c7ba6b553f254b9d8fb8eff60783")</f>
        <v>https://apnews.com/article/yogurt-diabetes-qualified-health-claim-dannon-1220c7ba6b553f254b9d8fb8eff60783</v>
      </c>
      <c r="C1352" s="2" t="s">
        <v>3644</v>
      </c>
      <c r="D1352" s="3">
        <v>45418.507187499999</v>
      </c>
      <c r="E1352" s="2" t="s">
        <v>291</v>
      </c>
    </row>
    <row r="1353" spans="1:5" ht="126" x14ac:dyDescent="0.2">
      <c r="A1353" s="2" t="s">
        <v>143</v>
      </c>
      <c r="B1353" s="2" t="str">
        <f>HYPERLINK("https://www.ajc.com/news/nation-world/can-yogurt-reduce-the-risk-of-type-2-diabetes/WSSJUHURCJH33N6J3OXXNZARBQ/")</f>
        <v>https://www.ajc.com/news/nation-world/can-yogurt-reduce-the-risk-of-type-2-diabetes/WSSJUHURCJH33N6J3OXXNZARBQ/</v>
      </c>
      <c r="C1353" s="2" t="s">
        <v>3244</v>
      </c>
      <c r="D1353" s="3">
        <v>45418.507488425923</v>
      </c>
      <c r="E1353" s="2" t="s">
        <v>291</v>
      </c>
    </row>
    <row r="1354" spans="1:5" ht="126" x14ac:dyDescent="0.2">
      <c r="A1354" s="2" t="s">
        <v>143</v>
      </c>
      <c r="B1354" s="2" t="str">
        <f>HYPERLINK("https://www.springfieldnewssun.com/nation-world/can-yogurt-reduce-the-risk-of-type-2-diabetes/GJCUTHB7IVEJFMRV25QO6BAVJ4/")</f>
        <v>https://www.springfieldnewssun.com/nation-world/can-yogurt-reduce-the-risk-of-type-2-diabetes/GJCUTHB7IVEJFMRV25QO6BAVJ4/</v>
      </c>
      <c r="C1354" s="2" t="s">
        <v>1950</v>
      </c>
      <c r="D1354" s="3">
        <v>45418.507534722223</v>
      </c>
      <c r="E1354" s="2" t="s">
        <v>291</v>
      </c>
    </row>
    <row r="1355" spans="1:5" ht="126" x14ac:dyDescent="0.2">
      <c r="A1355" s="2" t="s">
        <v>143</v>
      </c>
      <c r="B1355" s="2" t="str">
        <f>HYPERLINK("https://www.journal-news.com/nation-world/can-yogurt-reduce-the-risk-of-type-2-diabetes/GJCUTHB7IVEJFMRV25QO6BAVJ4/")</f>
        <v>https://www.journal-news.com/nation-world/can-yogurt-reduce-the-risk-of-type-2-diabetes/GJCUTHB7IVEJFMRV25QO6BAVJ4/</v>
      </c>
      <c r="C1355" s="2" t="s">
        <v>2101</v>
      </c>
      <c r="D1355" s="3">
        <v>45418.507534722223</v>
      </c>
      <c r="E1355" s="2" t="s">
        <v>291</v>
      </c>
    </row>
    <row r="1356" spans="1:5" ht="126" x14ac:dyDescent="0.2">
      <c r="A1356" s="2" t="s">
        <v>143</v>
      </c>
      <c r="B1356" s="2" t="str">
        <f>HYPERLINK("https://www.daytondailynews.com/nation-world/can-yogurt-reduce-the-risk-of-type-2-diabetes/GJCUTHB7IVEJFMRV25QO6BAVJ4/")</f>
        <v>https://www.daytondailynews.com/nation-world/can-yogurt-reduce-the-risk-of-type-2-diabetes/GJCUTHB7IVEJFMRV25QO6BAVJ4/</v>
      </c>
      <c r="C1356" s="2" t="s">
        <v>2726</v>
      </c>
      <c r="D1356" s="3">
        <v>45418.507534722223</v>
      </c>
      <c r="E1356" s="2" t="s">
        <v>291</v>
      </c>
    </row>
    <row r="1357" spans="1:5" ht="126" x14ac:dyDescent="0.2">
      <c r="A1357" s="2" t="s">
        <v>143</v>
      </c>
      <c r="B1357" s="2" t="str">
        <f>HYPERLINK("https://www.clickorlando.com/health/2024/05/06/can-yogurt-reduce-the-risk-of-type-2-diabetes/")</f>
        <v>https://www.clickorlando.com/health/2024/05/06/can-yogurt-reduce-the-risk-of-type-2-diabetes/</v>
      </c>
      <c r="C1357" s="2" t="s">
        <v>3113</v>
      </c>
      <c r="D1357" s="3">
        <v>45418.508043981477</v>
      </c>
      <c r="E1357" s="2" t="s">
        <v>550</v>
      </c>
    </row>
    <row r="1358" spans="1:5" ht="126" x14ac:dyDescent="0.2">
      <c r="A1358" s="2" t="s">
        <v>143</v>
      </c>
      <c r="B1358" s="2" t="str">
        <f>HYPERLINK("https://wtop.com/national/2024/05/can-yogurt-reduce-the-risk-of-type-2-diabetes/")</f>
        <v>https://wtop.com/national/2024/05/can-yogurt-reduce-the-risk-of-type-2-diabetes/</v>
      </c>
      <c r="C1358" s="2" t="s">
        <v>3076</v>
      </c>
      <c r="D1358" s="3">
        <v>45418.508136574077</v>
      </c>
      <c r="E1358" s="2" t="s">
        <v>291</v>
      </c>
    </row>
    <row r="1359" spans="1:5" ht="126" x14ac:dyDescent="0.2">
      <c r="A1359" s="2" t="s">
        <v>143</v>
      </c>
      <c r="B1359" s="2" t="str">
        <f>HYPERLINK("https://www.local10.com/health/2024/05/06/can-yogurt-reduce-the-risk-of-type-2-diabetes/")</f>
        <v>https://www.local10.com/health/2024/05/06/can-yogurt-reduce-the-risk-of-type-2-diabetes/</v>
      </c>
      <c r="C1359" s="2" t="s">
        <v>2995</v>
      </c>
      <c r="D1359" s="3">
        <v>45418.508946759262</v>
      </c>
      <c r="E1359" s="2" t="s">
        <v>291</v>
      </c>
    </row>
    <row r="1360" spans="1:5" ht="293" x14ac:dyDescent="0.2">
      <c r="A1360" s="2" t="s">
        <v>143</v>
      </c>
      <c r="B1360" s="2" t="str">
        <f>HYPERLINK("https://www.startribune.com/can-yogurt-reduce-the-risk-of-type-2-diabetes/600364020/")</f>
        <v>https://www.startribune.com/can-yogurt-reduce-the-risk-of-type-2-diabetes/600364020/</v>
      </c>
      <c r="C1360" s="2" t="s">
        <v>3177</v>
      </c>
      <c r="D1360" s="3">
        <v>45418.509016203701</v>
      </c>
      <c r="E1360" s="2" t="s">
        <v>3289</v>
      </c>
    </row>
    <row r="1361" spans="1:5" ht="126" x14ac:dyDescent="0.2">
      <c r="A1361" s="2" t="s">
        <v>143</v>
      </c>
      <c r="B1361" s="2" t="str">
        <f>HYPERLINK("https://www.click2houston.com/health/2024/05/06/can-yogurt-reduce-the-risk-of-type-2-diabetes/")</f>
        <v>https://www.click2houston.com/health/2024/05/06/can-yogurt-reduce-the-risk-of-type-2-diabetes/</v>
      </c>
      <c r="C1361" s="2" t="s">
        <v>3108</v>
      </c>
      <c r="D1361" s="3">
        <v>45418.510196759264</v>
      </c>
      <c r="E1361" s="2" t="s">
        <v>291</v>
      </c>
    </row>
    <row r="1362" spans="1:5" ht="126" x14ac:dyDescent="0.2">
      <c r="A1362" s="2" t="s">
        <v>143</v>
      </c>
      <c r="B1362" s="2" t="str">
        <f>HYPERLINK("https://www.wdbo.com/news/health/can-yogurt-reduce/YVTG4YAYIJTVVXCX6WF7IMDOW4/")</f>
        <v>https://www.wdbo.com/news/health/can-yogurt-reduce/YVTG4YAYIJTVVXCX6WF7IMDOW4/</v>
      </c>
      <c r="C1362" s="2" t="s">
        <v>1118</v>
      </c>
      <c r="D1362" s="3">
        <v>45418.510300925933</v>
      </c>
      <c r="E1362" s="2" t="s">
        <v>291</v>
      </c>
    </row>
    <row r="1363" spans="1:5" ht="126" x14ac:dyDescent="0.2">
      <c r="A1363" s="2" t="s">
        <v>143</v>
      </c>
      <c r="B1363" s="2" t="str">
        <f>HYPERLINK("https://www.sandiegouniontribune.com/news/nation-world/story/2024-05-06/can-yogurt-reduce-the-risk-of-type-2-diabetes")</f>
        <v>https://www.sandiegouniontribune.com/news/nation-world/story/2024-05-06/can-yogurt-reduce-the-risk-of-type-2-diabetes</v>
      </c>
      <c r="C1363" s="2" t="s">
        <v>3124</v>
      </c>
      <c r="D1363" s="3">
        <v>45418.510462962957</v>
      </c>
      <c r="E1363" s="2" t="s">
        <v>291</v>
      </c>
    </row>
    <row r="1364" spans="1:5" ht="98" x14ac:dyDescent="0.2">
      <c r="A1364" s="2" t="s">
        <v>143</v>
      </c>
      <c r="B1364" s="2" t="str">
        <f>HYPERLINK("https://ca.news.yahoo.com/yogurt-reduce-risk-type-2-160618712.html")</f>
        <v>https://ca.news.yahoo.com/yogurt-reduce-risk-type-2-160618712.html</v>
      </c>
      <c r="C1364" s="2" t="s">
        <v>3097</v>
      </c>
      <c r="D1364" s="3">
        <v>45418.510509259257</v>
      </c>
      <c r="E1364" s="2" t="s">
        <v>875</v>
      </c>
    </row>
    <row r="1365" spans="1:5" ht="126" x14ac:dyDescent="0.2">
      <c r="A1365" s="2" t="s">
        <v>143</v>
      </c>
      <c r="B1365" s="2" t="str">
        <f>HYPERLINK("https://www.wsls.com/health/2024/05/06/can-yogurt-reduce-the-risk-of-type-2-diabetes/")</f>
        <v>https://www.wsls.com/health/2024/05/06/can-yogurt-reduce-the-risk-of-type-2-diabetes/</v>
      </c>
      <c r="C1365" s="2" t="s">
        <v>2598</v>
      </c>
      <c r="D1365" s="3">
        <v>45418.510775462957</v>
      </c>
      <c r="E1365" s="2" t="s">
        <v>291</v>
      </c>
    </row>
    <row r="1366" spans="1:5" ht="126" x14ac:dyDescent="0.2">
      <c r="A1366" s="2" t="s">
        <v>143</v>
      </c>
      <c r="B1366" s="2" t="str">
        <f>HYPERLINK("https://www.news4jax.com/health/2024/05/06/can-yogurt-reduce-the-risk-of-type-2-diabetes/")</f>
        <v>https://www.news4jax.com/health/2024/05/06/can-yogurt-reduce-the-risk-of-type-2-diabetes/</v>
      </c>
      <c r="C1366" s="2" t="s">
        <v>2994</v>
      </c>
      <c r="D1366" s="3">
        <v>45418.511099537027</v>
      </c>
      <c r="E1366" s="2" t="s">
        <v>291</v>
      </c>
    </row>
    <row r="1367" spans="1:5" ht="126" x14ac:dyDescent="0.2">
      <c r="A1367" s="2" t="s">
        <v>143</v>
      </c>
      <c r="B1367" s="2" t="str">
        <f>HYPERLINK("https://www.winnipegfreepress.com/arts-and-life/life/2024/05/06/can-yogurt-reduce-the-risk-of-type-2-diabetes")</f>
        <v>https://www.winnipegfreepress.com/arts-and-life/life/2024/05/06/can-yogurt-reduce-the-risk-of-type-2-diabetes</v>
      </c>
      <c r="C1367" s="2" t="s">
        <v>2832</v>
      </c>
      <c r="D1367" s="3">
        <v>45418.511354166672</v>
      </c>
      <c r="E1367" s="2" t="s">
        <v>291</v>
      </c>
    </row>
    <row r="1368" spans="1:5" ht="126" x14ac:dyDescent="0.2">
      <c r="A1368" s="2" t="s">
        <v>143</v>
      </c>
      <c r="B1368" s="2" t="str">
        <f>HYPERLINK("https://www.actionnewsjax.com/news/health/can-yogurt-reduce/YVTG4YAYIJTVVXCX6WF7IMDOW4/")</f>
        <v>https://www.actionnewsjax.com/news/health/can-yogurt-reduce/YVTG4YAYIJTVVXCX6WF7IMDOW4/</v>
      </c>
      <c r="C1368" s="2" t="s">
        <v>2656</v>
      </c>
      <c r="D1368" s="3">
        <v>45418.511435185188</v>
      </c>
      <c r="E1368" s="2" t="s">
        <v>291</v>
      </c>
    </row>
    <row r="1369" spans="1:5" ht="126" x14ac:dyDescent="0.2">
      <c r="A1369" s="2" t="s">
        <v>143</v>
      </c>
      <c r="B1369" s="2" t="str">
        <f>HYPERLINK("https://www.wpxi.com/news/health/can-yogurt-reduce/YVTG4YAYIJTVVXCX6WF7IMDOW4/")</f>
        <v>https://www.wpxi.com/news/health/can-yogurt-reduce/YVTG4YAYIJTVVXCX6WF7IMDOW4/</v>
      </c>
      <c r="C1369" s="2" t="s">
        <v>2916</v>
      </c>
      <c r="D1369" s="3">
        <v>45418.51152777778</v>
      </c>
      <c r="E1369" s="2" t="s">
        <v>291</v>
      </c>
    </row>
    <row r="1370" spans="1:5" ht="126" x14ac:dyDescent="0.2">
      <c r="A1370" s="2" t="s">
        <v>143</v>
      </c>
      <c r="B1370" s="2" t="str">
        <f>HYPERLINK("https://www.ksat.com/health/2024/05/06/can-yogurt-reduce-the-risk-of-type-2-diabetes/")</f>
        <v>https://www.ksat.com/health/2024/05/06/can-yogurt-reduce-the-risk-of-type-2-diabetes/</v>
      </c>
      <c r="C1370" s="2" t="s">
        <v>3020</v>
      </c>
      <c r="D1370" s="3">
        <v>45418.512800925928</v>
      </c>
      <c r="E1370" s="2" t="s">
        <v>291</v>
      </c>
    </row>
    <row r="1371" spans="1:5" ht="126" x14ac:dyDescent="0.2">
      <c r="A1371" s="2" t="s">
        <v>143</v>
      </c>
      <c r="B1371" s="2" t="str">
        <f>HYPERLINK("https://www.kob.com/news/health/can-yogurt-reduce-the-risk-of-type-2-diabetes/")</f>
        <v>https://www.kob.com/news/health/can-yogurt-reduce-the-risk-of-type-2-diabetes/</v>
      </c>
      <c r="C1371" s="2" t="s">
        <v>2543</v>
      </c>
      <c r="D1371" s="3">
        <v>45418.51284722222</v>
      </c>
      <c r="E1371" s="2" t="s">
        <v>291</v>
      </c>
    </row>
    <row r="1372" spans="1:5" ht="126" x14ac:dyDescent="0.2">
      <c r="A1372" s="2" t="s">
        <v>143</v>
      </c>
      <c r="B1372" s="2" t="str">
        <f>HYPERLINK("https://www.independent.co.uk/news/ap-type-2-diabetes-danone-french-north-america-b2540360.html")</f>
        <v>https://www.independent.co.uk/news/ap-type-2-diabetes-danone-french-north-america-b2540360.html</v>
      </c>
      <c r="C1372" s="2" t="s">
        <v>3649</v>
      </c>
      <c r="D1372" s="3">
        <v>45418.512916666667</v>
      </c>
      <c r="E1372" s="2" t="s">
        <v>291</v>
      </c>
    </row>
    <row r="1373" spans="1:5" ht="98" x14ac:dyDescent="0.2">
      <c r="A1373" s="2" t="s">
        <v>2196</v>
      </c>
      <c r="B1373" s="2" t="str">
        <f>HYPERLINK("https://www.yourvalley.net/stories/can-yogurt-reduce-the-risk-of-type-2-diabetes,508808")</f>
        <v>https://www.yourvalley.net/stories/can-yogurt-reduce-the-risk-of-type-2-diabetes,508808</v>
      </c>
      <c r="C1373" s="2" t="s">
        <v>2130</v>
      </c>
      <c r="D1373" s="3">
        <v>45418.512974537043</v>
      </c>
      <c r="E1373" s="2" t="s">
        <v>875</v>
      </c>
    </row>
    <row r="1374" spans="1:5" ht="98" x14ac:dyDescent="0.2">
      <c r="A1374" s="2" t="s">
        <v>143</v>
      </c>
      <c r="B1374" s="2" t="str">
        <f>HYPERLINK("https://www.dailymail.co.uk/wires/ap/article-13387955/Can-yogurt-reduce-risk-Type-2-diabetes.html")</f>
        <v>https://www.dailymail.co.uk/wires/ap/article-13387955/Can-yogurt-reduce-risk-Type-2-diabetes.html</v>
      </c>
      <c r="C1374" s="2" t="s">
        <v>3655</v>
      </c>
      <c r="D1374" s="3">
        <v>45418.513043981482</v>
      </c>
      <c r="E1374" s="2" t="s">
        <v>3683</v>
      </c>
    </row>
    <row r="1375" spans="1:5" ht="126" x14ac:dyDescent="0.2">
      <c r="A1375" s="2" t="s">
        <v>143</v>
      </c>
      <c r="B1375" s="2" t="str">
        <f>HYPERLINK("https://www.clickondetroit.com/health/2024/05/06/can-yogurt-reduce-the-risk-of-type-2-diabetes/")</f>
        <v>https://www.clickondetroit.com/health/2024/05/06/can-yogurt-reduce-the-risk-of-type-2-diabetes/</v>
      </c>
      <c r="C1375" s="2" t="s">
        <v>3067</v>
      </c>
      <c r="D1375" s="3">
        <v>45418.513148148151</v>
      </c>
      <c r="E1375" s="2" t="s">
        <v>291</v>
      </c>
    </row>
    <row r="1376" spans="1:5" ht="126" x14ac:dyDescent="0.2">
      <c r="A1376" s="2" t="s">
        <v>143</v>
      </c>
      <c r="B1376" s="2" t="str">
        <f>HYPERLINK("https://newsfounded.com/india/can-yogurt-reduce-the-risk-of-type-2-diabetes/")</f>
        <v>https://newsfounded.com/india/can-yogurt-reduce-the-risk-of-type-2-diabetes/</v>
      </c>
      <c r="C1376" s="2" t="s">
        <v>3771</v>
      </c>
      <c r="D1376" s="3">
        <v>45418.513298611113</v>
      </c>
      <c r="E1376" s="2" t="s">
        <v>3897</v>
      </c>
    </row>
    <row r="1377" spans="1:5" ht="42" x14ac:dyDescent="0.2">
      <c r="A1377" s="2" t="s">
        <v>4053</v>
      </c>
      <c r="B1377" s="2" t="str">
        <f>HYPERLINK("https://okvir.net/zdravlje/moze-li-jogurt-smanjiti-rizik-od-dijabetesa-tipa-2/")</f>
        <v>https://okvir.net/zdravlje/moze-li-jogurt-smanjiti-rizik-od-dijabetesa-tipa-2/</v>
      </c>
      <c r="C1377" s="2" t="s">
        <v>4047</v>
      </c>
      <c r="D1377" s="3">
        <v>45418.513888888891</v>
      </c>
      <c r="E1377" s="2" t="s">
        <v>4054</v>
      </c>
    </row>
    <row r="1378" spans="1:5" ht="126" x14ac:dyDescent="0.2">
      <c r="A1378" s="2" t="s">
        <v>143</v>
      </c>
      <c r="B1378" s="2" t="str">
        <f>HYPERLINK("https://www.960theref.com/news/health/can-yogurt-reduce/YVTG4YAYIJTVVXCX6WF7IMDOW4/")</f>
        <v>https://www.960theref.com/news/health/can-yogurt-reduce/YVTG4YAYIJTVVXCX6WF7IMDOW4/</v>
      </c>
      <c r="C1378" s="2" t="s">
        <v>1056</v>
      </c>
      <c r="D1378" s="3">
        <v>45418.514131944437</v>
      </c>
      <c r="E1378" s="2" t="s">
        <v>291</v>
      </c>
    </row>
    <row r="1379" spans="1:5" ht="126" x14ac:dyDescent="0.2">
      <c r="A1379" s="2" t="s">
        <v>143</v>
      </c>
      <c r="B1379" s="2" t="str">
        <f>HYPERLINK("https://www.wfxrtv.com/news/national/ap-can-yogurt-reduce-the-risk-of-type-2-diabetes/")</f>
        <v>https://www.wfxrtv.com/news/national/ap-can-yogurt-reduce-the-risk-of-type-2-diabetes/</v>
      </c>
      <c r="C1379" s="2" t="s">
        <v>2279</v>
      </c>
      <c r="D1379" s="3">
        <v>45418.514166666668</v>
      </c>
      <c r="E1379" s="2" t="s">
        <v>550</v>
      </c>
    </row>
    <row r="1380" spans="1:5" ht="126" x14ac:dyDescent="0.2">
      <c r="A1380" s="2" t="s">
        <v>143</v>
      </c>
      <c r="B1380" s="2" t="str">
        <f>HYPERLINK("https://abcnews.go.com/Health/wireStory/yogurt-reduce-risk-type-2-diabetes-109960743")</f>
        <v>https://abcnews.go.com/Health/wireStory/yogurt-reduce-risk-type-2-diabetes-109960743</v>
      </c>
      <c r="C1380" s="2" t="s">
        <v>3622</v>
      </c>
      <c r="D1380" s="3">
        <v>45418.514305555553</v>
      </c>
      <c r="E1380" s="2" t="s">
        <v>291</v>
      </c>
    </row>
    <row r="1381" spans="1:5" ht="126" x14ac:dyDescent="0.2">
      <c r="A1381" s="2" t="s">
        <v>143</v>
      </c>
      <c r="B1381" s="2" t="str">
        <f>HYPERLINK("https://www.wftv.com/news/health/can-yogurt-reduce/YVTG4YAYIJTVVXCX6WF7IMDOW4/")</f>
        <v>https://www.wftv.com/news/health/can-yogurt-reduce/YVTG4YAYIJTVVXCX6WF7IMDOW4/</v>
      </c>
      <c r="C1381" s="2" t="s">
        <v>2857</v>
      </c>
      <c r="D1381" s="3">
        <v>45418.514687499999</v>
      </c>
      <c r="E1381" s="2" t="s">
        <v>291</v>
      </c>
    </row>
    <row r="1382" spans="1:5" ht="126" x14ac:dyDescent="0.2">
      <c r="A1382" s="2" t="s">
        <v>143</v>
      </c>
      <c r="B1382" s="2" t="str">
        <f>HYPERLINK("https://hosted.ap.org/journalrecord/article/1220c7ba6b553f254b9d8fb8eff60783/can-yogurt-reduce-risk-type-2-diabetes")</f>
        <v>https://hosted.ap.org/journalrecord/article/1220c7ba6b553f254b9d8fb8eff60783/can-yogurt-reduce-risk-type-2-diabetes</v>
      </c>
      <c r="C1382" s="2" t="s">
        <v>1694</v>
      </c>
      <c r="D1382" s="3">
        <v>45418.514722222222</v>
      </c>
      <c r="E1382" s="2" t="s">
        <v>550</v>
      </c>
    </row>
    <row r="1383" spans="1:5" ht="98" x14ac:dyDescent="0.2">
      <c r="A1383" s="2" t="s">
        <v>143</v>
      </c>
      <c r="B1383" s="2" t="str">
        <f>HYPERLINK("https://www.kaaltv.com/news/health-science/can-yogurt-reduce-the-risk-of-type-2-diabetes/")</f>
        <v>https://www.kaaltv.com/news/health-science/can-yogurt-reduce-the-risk-of-type-2-diabetes/</v>
      </c>
      <c r="C1383" s="2" t="s">
        <v>2388</v>
      </c>
      <c r="D1383" s="3">
        <v>45418.515682870369</v>
      </c>
      <c r="E1383" s="2" t="s">
        <v>875</v>
      </c>
    </row>
    <row r="1384" spans="1:5" ht="98" x14ac:dyDescent="0.2">
      <c r="A1384" s="2" t="s">
        <v>143</v>
      </c>
      <c r="B1384" s="2" t="str">
        <f>HYPERLINK("https://am970theanswer.com/news/national/can-yogurt-reduce-the-risk-of-type-2-diabetes/1220c7ba6b553f254b9d8fb8eff60783")</f>
        <v>https://am970theanswer.com/news/national/can-yogurt-reduce-the-risk-of-type-2-diabetes/1220c7ba6b553f254b9d8fb8eff60783</v>
      </c>
      <c r="C1384" s="2" t="s">
        <v>1007</v>
      </c>
      <c r="D1384" s="3">
        <v>45418.516099537039</v>
      </c>
      <c r="E1384" s="2" t="s">
        <v>875</v>
      </c>
    </row>
    <row r="1385" spans="1:5" ht="126" x14ac:dyDescent="0.2">
      <c r="A1385" s="2" t="s">
        <v>143</v>
      </c>
      <c r="B1385" s="2" t="str">
        <f>HYPERLINK("https://www.wsbtv.com/news/health/can-yogurt-reduce/YVTG4YAYIJTVVXCX6WF7IMDOW4/")</f>
        <v>https://www.wsbtv.com/news/health/can-yogurt-reduce/YVTG4YAYIJTVVXCX6WF7IMDOW4/</v>
      </c>
      <c r="C1385" s="2" t="s">
        <v>3223</v>
      </c>
      <c r="D1385" s="3">
        <v>45418.516168981478</v>
      </c>
      <c r="E1385" s="2" t="s">
        <v>291</v>
      </c>
    </row>
    <row r="1386" spans="1:5" ht="182" x14ac:dyDescent="0.2">
      <c r="A1386" s="2" t="s">
        <v>143</v>
      </c>
      <c r="B1386" s="2" t="str">
        <f>HYPERLINK("https://webcenters.netscape.compuserve.com/news/world/story/0001/20240506/1220c7ba6b553f254b9d8fb8eff60783")</f>
        <v>https://webcenters.netscape.compuserve.com/news/world/story/0001/20240506/1220c7ba6b553f254b9d8fb8eff60783</v>
      </c>
      <c r="C1386" s="2" t="s">
        <v>1752</v>
      </c>
      <c r="D1386" s="3">
        <v>45418.517604166656</v>
      </c>
      <c r="E1386" s="2" t="s">
        <v>144</v>
      </c>
    </row>
    <row r="1387" spans="1:5" ht="98" x14ac:dyDescent="0.2">
      <c r="A1387" s="2" t="s">
        <v>1760</v>
      </c>
      <c r="B1387" s="2" t="str">
        <f>HYPERLINK("https://www.metro.us/can-yogurt-reduce-the-risk-of-type-2-diabetes/")</f>
        <v>https://www.metro.us/can-yogurt-reduce-the-risk-of-type-2-diabetes/</v>
      </c>
      <c r="C1387" s="2" t="s">
        <v>1759</v>
      </c>
      <c r="D1387" s="3">
        <v>45418.517847222232</v>
      </c>
      <c r="E1387" s="2" t="s">
        <v>875</v>
      </c>
    </row>
    <row r="1388" spans="1:5" ht="98" x14ac:dyDescent="0.2">
      <c r="A1388" s="2" t="s">
        <v>143</v>
      </c>
      <c r="B1388" s="2" t="str">
        <f>HYPERLINK("https://www.phillytrib.com/can-yogurt-reduce-the-risk-of-type-2-diabetes/article_df61505e-5d84-5b89-a74f-45a1cf201af3.html")</f>
        <v>https://www.phillytrib.com/can-yogurt-reduce-the-risk-of-type-2-diabetes/article_df61505e-5d84-5b89-a74f-45a1cf201af3.html</v>
      </c>
      <c r="C1388" s="2" t="s">
        <v>2047</v>
      </c>
      <c r="D1388" s="3">
        <v>45418.518738425933</v>
      </c>
      <c r="E1388" s="2" t="s">
        <v>875</v>
      </c>
    </row>
    <row r="1389" spans="1:5" ht="126" x14ac:dyDescent="0.2">
      <c r="A1389" s="2" t="s">
        <v>143</v>
      </c>
      <c r="B1389" s="2" t="str">
        <f>HYPERLINK("https://www.whec.com/health/can-yogurt-reduce-the-risk-of-type-2-diabetes/")</f>
        <v>https://www.whec.com/health/can-yogurt-reduce-the-risk-of-type-2-diabetes/</v>
      </c>
      <c r="C1389" s="2" t="s">
        <v>2624</v>
      </c>
      <c r="D1389" s="3">
        <v>45418.519305555557</v>
      </c>
      <c r="E1389" s="2" t="s">
        <v>291</v>
      </c>
    </row>
    <row r="1390" spans="1:5" ht="126" x14ac:dyDescent="0.2">
      <c r="A1390" s="2" t="s">
        <v>143</v>
      </c>
      <c r="B1390" s="2" t="str">
        <f>HYPERLINK("https://www.seattletimes.com/seattle-news/health/can-yogurt-reduce-the-risk-of-type-2-diabetes/")</f>
        <v>https://www.seattletimes.com/seattle-news/health/can-yogurt-reduce-the-risk-of-type-2-diabetes/</v>
      </c>
      <c r="C1390" s="2" t="s">
        <v>3375</v>
      </c>
      <c r="D1390" s="3">
        <v>45418.51934027778</v>
      </c>
      <c r="E1390" s="2" t="s">
        <v>291</v>
      </c>
    </row>
    <row r="1391" spans="1:5" ht="98" x14ac:dyDescent="0.2">
      <c r="A1391" s="2" t="s">
        <v>143</v>
      </c>
      <c r="B1391" s="2" t="str">
        <f>HYPERLINK("https://kstp.com/associated-press/ap-medical/can-yogurt-reduce-the-risk-of-type-2-diabetes/")</f>
        <v>https://kstp.com/associated-press/ap-medical/can-yogurt-reduce-the-risk-of-type-2-diabetes/</v>
      </c>
      <c r="C1391" s="2" t="s">
        <v>2840</v>
      </c>
      <c r="D1391" s="3">
        <v>45418.519444444442</v>
      </c>
      <c r="E1391" s="2" t="s">
        <v>875</v>
      </c>
    </row>
    <row r="1392" spans="1:5" ht="126" x14ac:dyDescent="0.2">
      <c r="A1392" s="2" t="s">
        <v>143</v>
      </c>
      <c r="B1392" s="2" t="str">
        <f>HYPERLINK("https://theanswerorlando.com/news/national/can-yogurt-reduce-the-risk-of-type-2-diabetes/1220c7ba6b553f254b9d8fb8eff60783")</f>
        <v>https://theanswerorlando.com/news/national/can-yogurt-reduce-the-risk-of-type-2-diabetes/1220c7ba6b553f254b9d8fb8eff60783</v>
      </c>
      <c r="C1392" s="2" t="s">
        <v>707</v>
      </c>
      <c r="D1392" s="3">
        <v>45418.520231481481</v>
      </c>
      <c r="E1392" s="2" t="s">
        <v>709</v>
      </c>
    </row>
    <row r="1393" spans="1:5" ht="126" x14ac:dyDescent="0.2">
      <c r="A1393" s="2" t="s">
        <v>143</v>
      </c>
      <c r="B1393" s="2" t="str">
        <f>HYPERLINK("https://srnnews.com/can-yogurt-reduce-the-risk-of-type-2-diabetes/")</f>
        <v>https://srnnews.com/can-yogurt-reduce-the-risk-of-type-2-diabetes/</v>
      </c>
      <c r="C1393" s="2" t="s">
        <v>1350</v>
      </c>
      <c r="D1393" s="3">
        <v>45418.520289351851</v>
      </c>
      <c r="E1393" s="2" t="s">
        <v>291</v>
      </c>
    </row>
    <row r="1394" spans="1:5" ht="126" x14ac:dyDescent="0.2">
      <c r="A1394" s="2" t="s">
        <v>143</v>
      </c>
      <c r="B1394" s="2" t="str">
        <f>HYPERLINK("https://www.thespec.com/life/can-yogurt-reduce-the-risk-of-type-2-diabetes/article_265617e6-0e35-52a9-a8e5-90e60dcf9514.html")</f>
        <v>https://www.thespec.com/life/can-yogurt-reduce-the-risk-of-type-2-diabetes/article_265617e6-0e35-52a9-a8e5-90e60dcf9514.html</v>
      </c>
      <c r="C1394" s="2" t="s">
        <v>2836</v>
      </c>
      <c r="D1394" s="3">
        <v>45418.52107638889</v>
      </c>
      <c r="E1394" s="2" t="s">
        <v>291</v>
      </c>
    </row>
    <row r="1395" spans="1:5" ht="42" x14ac:dyDescent="0.2">
      <c r="A1395" s="2" t="s">
        <v>143</v>
      </c>
      <c r="B1395" s="2" t="str">
        <f>HYPERLINK("https://www.newsday.com/news/nation/Yogurt-diabetes-qualified-health-claim-Dannon-h26777")</f>
        <v>https://www.newsday.com/news/nation/Yogurt-diabetes-qualified-health-claim-Dannon-h26777</v>
      </c>
      <c r="C1395" s="2" t="s">
        <v>2950</v>
      </c>
      <c r="D1395" s="3">
        <v>45418.521736111114</v>
      </c>
      <c r="E1395" s="2" t="s">
        <v>70</v>
      </c>
    </row>
    <row r="1396" spans="1:5" ht="98" x14ac:dyDescent="0.2">
      <c r="A1396" s="2" t="s">
        <v>143</v>
      </c>
      <c r="B1396" s="2" t="str">
        <f>HYPERLINK("https://www.yankton.net/news/national_ap/article_897975dd-e71a-5b9b-8dd6-9668538b7c25.html")</f>
        <v>https://www.yankton.net/news/national_ap/article_897975dd-e71a-5b9b-8dd6-9668538b7c25.html</v>
      </c>
      <c r="C1396" s="2" t="s">
        <v>1591</v>
      </c>
      <c r="D1396" s="3">
        <v>45418.521851851852</v>
      </c>
      <c r="E1396" s="2" t="s">
        <v>875</v>
      </c>
    </row>
    <row r="1397" spans="1:5" ht="126" x14ac:dyDescent="0.2">
      <c r="A1397" s="2" t="s">
        <v>143</v>
      </c>
      <c r="B1397" s="2" t="str">
        <f>HYPERLINK("https://kdvr.com/news/health/ap-can-yogurt-reduce-the-risk-of-type-2-diabetes/")</f>
        <v>https://kdvr.com/news/health/ap-can-yogurt-reduce-the-risk-of-type-2-diabetes/</v>
      </c>
      <c r="C1397" s="2" t="s">
        <v>3101</v>
      </c>
      <c r="D1397" s="3">
        <v>45418.522118055553</v>
      </c>
      <c r="E1397" s="2" t="s">
        <v>291</v>
      </c>
    </row>
    <row r="1398" spans="1:5" ht="126" x14ac:dyDescent="0.2">
      <c r="A1398" s="2" t="s">
        <v>143</v>
      </c>
      <c r="B1398" s="2" t="str">
        <f>HYPERLINK("https://www.mymotherlode.com/news/health-news/3353034/can-yogurt-reduce-the-risk-of-type-2-diabetes.html")</f>
        <v>https://www.mymotherlode.com/news/health-news/3353034/can-yogurt-reduce-the-risk-of-type-2-diabetes.html</v>
      </c>
      <c r="C1398" s="2" t="s">
        <v>2096</v>
      </c>
      <c r="D1398" s="3">
        <v>45418.522824074083</v>
      </c>
      <c r="E1398" s="2" t="s">
        <v>291</v>
      </c>
    </row>
    <row r="1399" spans="1:5" ht="126" x14ac:dyDescent="0.2">
      <c r="A1399" s="2" t="s">
        <v>143</v>
      </c>
      <c r="B1399" s="2" t="str">
        <f>HYPERLINK("https://www.breitbart.com/news/can-yogurt-reduce-the-risk-of-type-2-diabetes/")</f>
        <v>https://www.breitbart.com/news/can-yogurt-reduce-the-risk-of-type-2-diabetes/</v>
      </c>
      <c r="C1399" s="2" t="s">
        <v>3202</v>
      </c>
      <c r="D1399" s="3">
        <v>45418.526504629634</v>
      </c>
      <c r="E1399" s="2" t="s">
        <v>291</v>
      </c>
    </row>
    <row r="1400" spans="1:5" ht="126" x14ac:dyDescent="0.2">
      <c r="A1400" s="2" t="s">
        <v>68</v>
      </c>
      <c r="B1400" s="2" t="str">
        <f>HYPERLINK("https://www.usnews.com/news/health-news/articles/2024-05-06/can-yogurt-reduce-the-risk-of-type-2-diabetes")</f>
        <v>https://www.usnews.com/news/health-news/articles/2024-05-06/can-yogurt-reduce-the-risk-of-type-2-diabetes</v>
      </c>
      <c r="C1400" s="2" t="s">
        <v>3612</v>
      </c>
      <c r="D1400" s="3">
        <v>45418.526909722219</v>
      </c>
      <c r="E1400" s="2" t="s">
        <v>291</v>
      </c>
    </row>
    <row r="1401" spans="1:5" ht="182" x14ac:dyDescent="0.2">
      <c r="A1401" s="2" t="s">
        <v>143</v>
      </c>
      <c r="B1401" s="2" t="str">
        <f>HYPERLINK("https://www.timescolonist.com/the-mix/can-yogurt-reduce-the-risk-of-type-2-diabetes-8703506")</f>
        <v>https://www.timescolonist.com/the-mix/can-yogurt-reduce-the-risk-of-type-2-diabetes-8703506</v>
      </c>
      <c r="C1401" s="2" t="s">
        <v>2860</v>
      </c>
      <c r="D1401" s="3">
        <v>45418.531493055547</v>
      </c>
      <c r="E1401" s="2" t="s">
        <v>144</v>
      </c>
    </row>
    <row r="1402" spans="1:5" ht="182" x14ac:dyDescent="0.2">
      <c r="A1402" s="2" t="s">
        <v>143</v>
      </c>
      <c r="B1402" s="2" t="str">
        <f>HYPERLINK("https://www.timescolonist.com/health/can-yogurt-reduce-the-risk-of-type-2-diabetes-8703522")</f>
        <v>https://www.timescolonist.com/health/can-yogurt-reduce-the-risk-of-type-2-diabetes-8703522</v>
      </c>
      <c r="C1402" s="2" t="s">
        <v>2860</v>
      </c>
      <c r="D1402" s="3">
        <v>45418.531539351847</v>
      </c>
      <c r="E1402" s="2" t="s">
        <v>144</v>
      </c>
    </row>
    <row r="1403" spans="1:5" ht="126" x14ac:dyDescent="0.2">
      <c r="A1403" s="2" t="s">
        <v>143</v>
      </c>
      <c r="B1403" s="2" t="str">
        <f>HYPERLINK("https://todayschronic.com/can-yogurt-reduce-the-risk-of-type-2-diabetes/")</f>
        <v>https://todayschronic.com/can-yogurt-reduce-the-risk-of-type-2-diabetes/</v>
      </c>
      <c r="C1403" s="2" t="s">
        <v>524</v>
      </c>
      <c r="D1403" s="3">
        <v>45418.534270833326</v>
      </c>
      <c r="E1403" s="2" t="s">
        <v>550</v>
      </c>
    </row>
    <row r="1404" spans="1:5" ht="126" x14ac:dyDescent="0.2">
      <c r="A1404" s="2" t="s">
        <v>143</v>
      </c>
      <c r="B1404" s="2" t="str">
        <f>HYPERLINK("https://www.krqe.com/health/ap-can-yogurt-reduce-the-risk-of-type-2-diabetes/")</f>
        <v>https://www.krqe.com/health/ap-can-yogurt-reduce-the-risk-of-type-2-diabetes/</v>
      </c>
      <c r="C1404" s="2" t="s">
        <v>2785</v>
      </c>
      <c r="D1404" s="3">
        <v>45418.537939814807</v>
      </c>
      <c r="E1404" s="2" t="s">
        <v>550</v>
      </c>
    </row>
    <row r="1405" spans="1:5" ht="126" x14ac:dyDescent="0.2">
      <c r="A1405" s="2" t="s">
        <v>143</v>
      </c>
      <c r="B1405" s="2" t="str">
        <f>HYPERLINK("https://www.wokv.com/news/health/can-yogurt-reduce/YVTG4YAYIJTVVXCX6WF7IMDOW4/")</f>
        <v>https://www.wokv.com/news/health/can-yogurt-reduce/YVTG4YAYIJTVVXCX6WF7IMDOW4/</v>
      </c>
      <c r="C1405" s="2" t="s">
        <v>1730</v>
      </c>
      <c r="D1405" s="3">
        <v>45418.538611111107</v>
      </c>
      <c r="E1405" s="2" t="s">
        <v>291</v>
      </c>
    </row>
    <row r="1406" spans="1:5" ht="98" x14ac:dyDescent="0.2">
      <c r="A1406" s="2" t="s">
        <v>143</v>
      </c>
      <c r="B1406" s="2" t="str">
        <f>HYPERLINK("https://www.wgrz.com/article/news/health/can-yogurt-reduce-the-risk-of-type-2-diabetes/71-1248bd1d-8386-4164-8016-ab79d14b5b76")</f>
        <v>https://www.wgrz.com/article/news/health/can-yogurt-reduce-the-risk-of-type-2-diabetes/71-1248bd1d-8386-4164-8016-ab79d14b5b76</v>
      </c>
      <c r="C1406" s="2" t="s">
        <v>2901</v>
      </c>
      <c r="D1406" s="3">
        <v>45418.540138888893</v>
      </c>
      <c r="E1406" s="2" t="s">
        <v>2902</v>
      </c>
    </row>
    <row r="1407" spans="1:5" ht="126" x14ac:dyDescent="0.2">
      <c r="A1407" s="2" t="s">
        <v>143</v>
      </c>
      <c r="B1407" s="2" t="str">
        <f>HYPERLINK("https://www.wsbradio.com/news/health/can-yogurt-reduce/YVTG4YAYIJTVVXCX6WF7IMDOW4/")</f>
        <v>https://www.wsbradio.com/news/health/can-yogurt-reduce/YVTG4YAYIJTVVXCX6WF7IMDOW4/</v>
      </c>
      <c r="C1407" s="2" t="s">
        <v>2353</v>
      </c>
      <c r="D1407" s="3">
        <v>45418.542291666658</v>
      </c>
      <c r="E1407" s="2" t="s">
        <v>291</v>
      </c>
    </row>
    <row r="1408" spans="1:5" ht="42" x14ac:dyDescent="0.2">
      <c r="A1408" s="2" t="s">
        <v>143</v>
      </c>
      <c r="B1408" s="2" t="str">
        <f>HYPERLINK("https://www.sfgate.com/news/article/can-yogurt-reduce-the-risk-of-type-2-diabetes-19441883.php")</f>
        <v>https://www.sfgate.com/news/article/can-yogurt-reduce-the-risk-of-type-2-diabetes-19441883.php</v>
      </c>
      <c r="C1408" s="2" t="s">
        <v>3492</v>
      </c>
      <c r="D1408" s="3">
        <v>45418.545081018521</v>
      </c>
      <c r="E1408" s="2" t="s">
        <v>70</v>
      </c>
    </row>
    <row r="1409" spans="1:5" ht="42" x14ac:dyDescent="0.2">
      <c r="A1409" s="2" t="s">
        <v>143</v>
      </c>
      <c r="B1409" s="2" t="str">
        <f>HYPERLINK("https://www.seattlepi.com/news/article/can-yogurt-reduce-the-risk-of-type-2-diabetes-19441883.php")</f>
        <v>https://www.seattlepi.com/news/article/can-yogurt-reduce-the-risk-of-type-2-diabetes-19441883.php</v>
      </c>
      <c r="C1409" s="2" t="s">
        <v>2324</v>
      </c>
      <c r="D1409" s="3">
        <v>45418.54614583333</v>
      </c>
      <c r="E1409" s="2" t="s">
        <v>70</v>
      </c>
    </row>
    <row r="1410" spans="1:5" ht="126" x14ac:dyDescent="0.2">
      <c r="A1410" s="2" t="s">
        <v>143</v>
      </c>
      <c r="B1410" s="2" t="str">
        <f>HYPERLINK("https://www.therepublic.com/2024/05/06/can-yogurt-reduce-the-risk-of-type-2-diabetes/")</f>
        <v>https://www.therepublic.com/2024/05/06/can-yogurt-reduce-the-risk-of-type-2-diabetes/</v>
      </c>
      <c r="C1410" s="2" t="s">
        <v>2193</v>
      </c>
      <c r="D1410" s="3">
        <v>45418.583993055552</v>
      </c>
      <c r="E1410" s="2" t="s">
        <v>291</v>
      </c>
    </row>
    <row r="1411" spans="1:5" ht="126" x14ac:dyDescent="0.2">
      <c r="A1411" s="2" t="s">
        <v>143</v>
      </c>
      <c r="B1411" s="2" t="str">
        <f>HYPERLINK("https://tribtown.com/2024/05/06/can-yogurt-reduce-the-risk-of-type-2-diabetes/")</f>
        <v>https://tribtown.com/2024/05/06/can-yogurt-reduce-the-risk-of-type-2-diabetes/</v>
      </c>
      <c r="C1411" s="2" t="s">
        <v>1723</v>
      </c>
      <c r="D1411" s="3">
        <v>45418.585185185177</v>
      </c>
      <c r="E1411" s="2" t="s">
        <v>291</v>
      </c>
    </row>
    <row r="1412" spans="1:5" ht="84" x14ac:dyDescent="0.2">
      <c r="A1412" s="2" t="s">
        <v>556</v>
      </c>
      <c r="B1412" s="2" t="str">
        <f>HYPERLINK("https://www.washingtonpost.com/wellness/2024/05/06/food-labels-gluten-sugar-cholesterol/")</f>
        <v>https://www.washingtonpost.com/wellness/2024/05/06/food-labels-gluten-sugar-cholesterol/</v>
      </c>
      <c r="C1412" s="2" t="s">
        <v>3634</v>
      </c>
      <c r="D1412" s="3">
        <v>45418.58797453704</v>
      </c>
      <c r="E1412" s="2" t="s">
        <v>557</v>
      </c>
    </row>
    <row r="1413" spans="1:5" ht="126" x14ac:dyDescent="0.2">
      <c r="A1413" s="2" t="s">
        <v>143</v>
      </c>
      <c r="B1413" s="2" t="str">
        <f>HYPERLINK("https://dailyjournal.net/2024/05/06/can-yogurt-reduce-the-risk-of-type-2-diabetes/")</f>
        <v>https://dailyjournal.net/2024/05/06/can-yogurt-reduce-the-risk-of-type-2-diabetes/</v>
      </c>
      <c r="C1413" s="2" t="s">
        <v>2079</v>
      </c>
      <c r="D1413" s="3">
        <v>45418.609293981477</v>
      </c>
      <c r="E1413" s="2" t="s">
        <v>291</v>
      </c>
    </row>
    <row r="1414" spans="1:5" ht="126" x14ac:dyDescent="0.2">
      <c r="A1414" s="2" t="s">
        <v>143</v>
      </c>
      <c r="B1414" s="2" t="str">
        <f>HYPERLINK("https://www.nbcboston.com/news/health/can-yogurt-reduce-the-risk-of-type-2-diabetes/3360952/")</f>
        <v>https://www.nbcboston.com/news/health/can-yogurt-reduce-the-risk-of-type-2-diabetes/3360952/</v>
      </c>
      <c r="C1414" s="2" t="s">
        <v>3016</v>
      </c>
      <c r="D1414" s="3">
        <v>45418.641053240739</v>
      </c>
      <c r="E1414" s="2" t="s">
        <v>291</v>
      </c>
    </row>
    <row r="1415" spans="1:5" ht="126" x14ac:dyDescent="0.2">
      <c r="A1415" s="2" t="s">
        <v>143</v>
      </c>
      <c r="B1415" s="2" t="str">
        <f>HYPERLINK("https://www.audacy.com/kxnt/news/can-yogurt-reduce-the-risk-of-type-2-diabetes")</f>
        <v>https://www.audacy.com/kxnt/news/can-yogurt-reduce-the-risk-of-type-2-diabetes</v>
      </c>
      <c r="C1415" s="2" t="s">
        <v>3218</v>
      </c>
      <c r="D1415" s="3">
        <v>45418.641909722217</v>
      </c>
      <c r="E1415" s="2" t="s">
        <v>550</v>
      </c>
    </row>
    <row r="1416" spans="1:5" ht="126" x14ac:dyDescent="0.2">
      <c r="A1416" s="2" t="s">
        <v>143</v>
      </c>
      <c r="B1416" s="2" t="str">
        <f>HYPERLINK("https://www.nbcnewyork.com/news/health/can-yogurt-reduce-the-risk-of-type-2-diabetes/5388481/?_osource=SocialFlowTwt_NYBrand")</f>
        <v>https://www.nbcnewyork.com/news/health/can-yogurt-reduce-the-risk-of-type-2-diabetes/5388481/?_osource=SocialFlowTwt_NYBrand</v>
      </c>
      <c r="C1416" s="2" t="s">
        <v>3269</v>
      </c>
      <c r="D1416" s="3">
        <v>45418.645960648151</v>
      </c>
      <c r="E1416" s="2" t="s">
        <v>291</v>
      </c>
    </row>
    <row r="1417" spans="1:5" ht="126" x14ac:dyDescent="0.2">
      <c r="A1417" s="2" t="s">
        <v>143</v>
      </c>
      <c r="B1417" s="2" t="str">
        <f>HYPERLINK("https://www.nbcbayarea.com/news/health/can-yogurt-reduce-the-risk-of-type-2-diabetes/3530737/")</f>
        <v>https://www.nbcbayarea.com/news/health/can-yogurt-reduce-the-risk-of-type-2-diabetes/3530737/</v>
      </c>
      <c r="C1417" s="2" t="s">
        <v>3042</v>
      </c>
      <c r="D1417" s="3">
        <v>45418.647141203714</v>
      </c>
      <c r="E1417" s="2" t="s">
        <v>291</v>
      </c>
    </row>
    <row r="1418" spans="1:5" ht="98" x14ac:dyDescent="0.2">
      <c r="A1418" s="2" t="s">
        <v>143</v>
      </c>
      <c r="B1418" s="2" t="str">
        <f>HYPERLINK("https://www.nbcchicago.com/news/health/can-yogurt-reduce-the-risk-of-type-2-diabetes/3429889/")</f>
        <v>https://www.nbcchicago.com/news/health/can-yogurt-reduce-the-risk-of-type-2-diabetes/3429889/</v>
      </c>
      <c r="C1418" s="2" t="s">
        <v>3342</v>
      </c>
      <c r="D1418" s="3">
        <v>45418.647824074083</v>
      </c>
      <c r="E1418" s="2" t="s">
        <v>875</v>
      </c>
    </row>
    <row r="1419" spans="1:5" ht="126" x14ac:dyDescent="0.2">
      <c r="A1419" s="2" t="s">
        <v>143</v>
      </c>
      <c r="B1419" s="2" t="str">
        <f>HYPERLINK("https://www.nbcmiami.com/news/health/can-yogurt-reduce-the-risk-of-type-2-diabetes/3303882/")</f>
        <v>https://www.nbcmiami.com/news/health/can-yogurt-reduce-the-risk-of-type-2-diabetes/3303882/</v>
      </c>
      <c r="C1419" s="2" t="s">
        <v>3017</v>
      </c>
      <c r="D1419" s="3">
        <v>45418.648020833331</v>
      </c>
      <c r="E1419" s="2" t="s">
        <v>550</v>
      </c>
    </row>
    <row r="1420" spans="1:5" ht="126" x14ac:dyDescent="0.2">
      <c r="A1420" s="2" t="s">
        <v>143</v>
      </c>
      <c r="B1420" s="2" t="str">
        <f>HYPERLINK("https://www.nbcphiladelphia.com/news/health/can-yogurt-reduce-the-risk-of-type-2-diabetes/3851316/")</f>
        <v>https://www.nbcphiladelphia.com/news/health/can-yogurt-reduce-the-risk-of-type-2-diabetes/3851316/</v>
      </c>
      <c r="C1420" s="2" t="s">
        <v>3078</v>
      </c>
      <c r="D1420" s="3">
        <v>45418.64875</v>
      </c>
      <c r="E1420" s="2" t="s">
        <v>291</v>
      </c>
    </row>
    <row r="1421" spans="1:5" ht="126" x14ac:dyDescent="0.2">
      <c r="A1421" s="2" t="s">
        <v>143</v>
      </c>
      <c r="B1421" s="2" t="str">
        <f>HYPERLINK("https://www.nbclosangeles.com/news/national-international/can-yogurt-reduce-the-risk-of-type-2-diabetes/3405864/")</f>
        <v>https://www.nbclosangeles.com/news/national-international/can-yogurt-reduce-the-risk-of-type-2-diabetes/3405864/</v>
      </c>
      <c r="C1421" s="2" t="s">
        <v>3121</v>
      </c>
      <c r="D1421" s="3">
        <v>45418.649930555563</v>
      </c>
      <c r="E1421" s="2" t="s">
        <v>291</v>
      </c>
    </row>
    <row r="1422" spans="1:5" ht="126" x14ac:dyDescent="0.2">
      <c r="A1422" s="2" t="s">
        <v>143</v>
      </c>
      <c r="B1422" s="2" t="str">
        <f>HYPERLINK("https://www.nbcsandiego.com/news/health/can-yogurt-reduce-the-risk-of-type-2-diabetes/3507759/")</f>
        <v>https://www.nbcsandiego.com/news/health/can-yogurt-reduce-the-risk-of-type-2-diabetes/3507759/</v>
      </c>
      <c r="C1422" s="2" t="s">
        <v>2951</v>
      </c>
      <c r="D1422" s="3">
        <v>45418.650081018517</v>
      </c>
      <c r="E1422" s="2" t="s">
        <v>291</v>
      </c>
    </row>
    <row r="1423" spans="1:5" ht="126" x14ac:dyDescent="0.2">
      <c r="A1423" s="2" t="s">
        <v>143</v>
      </c>
      <c r="B1423" s="2" t="str">
        <f>HYPERLINK("https://www.nbcnewyork.com/news/health/can-yogurt-reduce-the-risk-of-type-2-diabetes/5388481/")</f>
        <v>https://www.nbcnewyork.com/news/health/can-yogurt-reduce-the-risk-of-type-2-diabetes/5388481/</v>
      </c>
      <c r="C1423" s="2" t="s">
        <v>3269</v>
      </c>
      <c r="D1423" s="3">
        <v>45418.65253472222</v>
      </c>
      <c r="E1423" s="2" t="s">
        <v>550</v>
      </c>
    </row>
    <row r="1424" spans="1:5" ht="126" x14ac:dyDescent="0.2">
      <c r="A1424" s="2" t="s">
        <v>143</v>
      </c>
      <c r="B1424" s="2" t="str">
        <f>HYPERLINK("https://www.nbcdfw.com/news/health/can-yogurt-reduce-the-risk-of-type-2-diabetes/3534286/")</f>
        <v>https://www.nbcdfw.com/news/health/can-yogurt-reduce-the-risk-of-type-2-diabetes/3534286/</v>
      </c>
      <c r="C1424" s="2" t="s">
        <v>2967</v>
      </c>
      <c r="D1424" s="3">
        <v>45418.653703703712</v>
      </c>
      <c r="E1424" s="2" t="s">
        <v>291</v>
      </c>
    </row>
    <row r="1425" spans="1:5" ht="126" x14ac:dyDescent="0.2">
      <c r="A1425" s="2" t="s">
        <v>143</v>
      </c>
      <c r="B1425" s="2" t="str">
        <f>HYPERLINK("https://www.nbcwashington.com/news/health/can-yogurt-reduce-the-risk-of-type-2-diabetes/3609937/")</f>
        <v>https://www.nbcwashington.com/news/health/can-yogurt-reduce-the-risk-of-type-2-diabetes/3609937/</v>
      </c>
      <c r="C1425" s="2" t="s">
        <v>3031</v>
      </c>
      <c r="D1425" s="3">
        <v>45418.655682870369</v>
      </c>
      <c r="E1425" s="2" t="s">
        <v>550</v>
      </c>
    </row>
    <row r="1426" spans="1:5" ht="126" x14ac:dyDescent="0.2">
      <c r="A1426" s="2" t="s">
        <v>143</v>
      </c>
      <c r="B1426" s="2" t="str">
        <f>HYPERLINK("https://www.newsbreak.com/news/3427735228972-can-yogurt-reduce-the-risk-of-type-2-diabetes")</f>
        <v>https://www.newsbreak.com/news/3427735228972-can-yogurt-reduce-the-risk-of-type-2-diabetes</v>
      </c>
      <c r="C1426" s="2" t="s">
        <v>3461</v>
      </c>
      <c r="D1426" s="3">
        <v>45418.669027777767</v>
      </c>
      <c r="E1426" s="2" t="s">
        <v>291</v>
      </c>
    </row>
    <row r="1427" spans="1:5" ht="70" x14ac:dyDescent="0.2">
      <c r="A1427" s="2" t="s">
        <v>2306</v>
      </c>
      <c r="B1427" s="2" t="str">
        <f>HYPERLINK("https://www.theyeshivaworld.com/news/general/2281337/can-yogurt-reduce-the-risk-of-type-2-diabetes.html")</f>
        <v>https://www.theyeshivaworld.com/news/general/2281337/can-yogurt-reduce-the-risk-of-type-2-diabetes.html</v>
      </c>
      <c r="C1427" s="2" t="s">
        <v>2802</v>
      </c>
      <c r="D1427" s="3">
        <v>45418.673159722217</v>
      </c>
      <c r="E1427" s="2" t="s">
        <v>2849</v>
      </c>
    </row>
    <row r="1428" spans="1:5" ht="126" x14ac:dyDescent="0.2">
      <c r="A1428" s="2" t="s">
        <v>143</v>
      </c>
      <c r="B1428" s="2" t="str">
        <f>HYPERLINK("https://www.nbcconnecticut.com/news/health/can-yogurt-reduce-the-risk-of-type-2-diabetes/3283784/")</f>
        <v>https://www.nbcconnecticut.com/news/health/can-yogurt-reduce-the-risk-of-type-2-diabetes/3283784/</v>
      </c>
      <c r="C1428" s="2" t="s">
        <v>2854</v>
      </c>
      <c r="D1428" s="3">
        <v>45418.677499999998</v>
      </c>
      <c r="E1428" s="2" t="s">
        <v>291</v>
      </c>
    </row>
    <row r="1429" spans="1:5" ht="126" x14ac:dyDescent="0.2">
      <c r="A1429" s="2" t="s">
        <v>143</v>
      </c>
      <c r="B1429" s="2" t="str">
        <f>HYPERLINK("https://www.necn.com/news/health-news/can-yogurt-reduce-the-risk-of-type-2-diabetes/3228064/")</f>
        <v>https://www.necn.com/news/health-news/can-yogurt-reduce-the-risk-of-type-2-diabetes/3228064/</v>
      </c>
      <c r="C1429" s="2" t="s">
        <v>2351</v>
      </c>
      <c r="D1429" s="3">
        <v>45418.688113425917</v>
      </c>
      <c r="E1429" s="2" t="s">
        <v>291</v>
      </c>
    </row>
    <row r="1430" spans="1:5" ht="84" x14ac:dyDescent="0.2">
      <c r="A1430" s="2" t="s">
        <v>556</v>
      </c>
      <c r="B1430" s="2" t="str">
        <f>HYPERLINK("https://fynefettle.com/what-no-cholesterol-and-gluten-free-mean-on-food-labels/")</f>
        <v>https://fynefettle.com/what-no-cholesterol-and-gluten-free-mean-on-food-labels/</v>
      </c>
      <c r="C1430" s="2" t="s">
        <v>555</v>
      </c>
      <c r="D1430" s="3">
        <v>45418.70653935185</v>
      </c>
      <c r="E1430" s="2" t="s">
        <v>557</v>
      </c>
    </row>
    <row r="1431" spans="1:5" ht="319" x14ac:dyDescent="0.2">
      <c r="A1431" s="2" t="s">
        <v>68</v>
      </c>
      <c r="B1431" s="2" t="str">
        <f>HYPERLINK("https://vinnews.com/2024/05/06/can-yogurt-reduce-the-risk-of-type-2-diabetes/")</f>
        <v>https://vinnews.com/2024/05/06/can-yogurt-reduce-the-risk-of-type-2-diabetes/</v>
      </c>
      <c r="C1431" s="2" t="s">
        <v>2710</v>
      </c>
      <c r="D1431" s="3">
        <v>45418.708912037036</v>
      </c>
      <c r="E1431" s="2" t="s">
        <v>2711</v>
      </c>
    </row>
    <row r="1432" spans="1:5" ht="56" x14ac:dyDescent="0.2">
      <c r="A1432" s="2" t="s">
        <v>681</v>
      </c>
      <c r="B1432" s="2" t="str">
        <f>HYPERLINK("https://www.telemundo48elpaso.com/noticias/salud/yogurt-fda-reducir-riesgo-diabetes/2353209/")</f>
        <v>https://www.telemundo48elpaso.com/noticias/salud/yogurt-fda-reducir-riesgo-diabetes/2353209/</v>
      </c>
      <c r="C1432" s="2" t="s">
        <v>1304</v>
      </c>
      <c r="D1432" s="3">
        <v>45418.793263888889</v>
      </c>
      <c r="E1432" s="2" t="s">
        <v>982</v>
      </c>
    </row>
    <row r="1433" spans="1:5" ht="56" x14ac:dyDescent="0.2">
      <c r="A1433" s="2" t="s">
        <v>681</v>
      </c>
      <c r="B1433" s="2" t="str">
        <f>HYPERLINK("https://www.telemundo47.com/noticias/salud/yogurt-fda-reducir-riesgo-diabetes/2472660/")</f>
        <v>https://www.telemundo47.com/noticias/salud/yogurt-fda-reducir-riesgo-diabetes/2472660/</v>
      </c>
      <c r="C1433" s="2" t="s">
        <v>2357</v>
      </c>
      <c r="D1433" s="3">
        <v>45418.795787037037</v>
      </c>
      <c r="E1433" s="2" t="s">
        <v>982</v>
      </c>
    </row>
    <row r="1434" spans="1:5" ht="56" x14ac:dyDescent="0.2">
      <c r="A1434" s="2" t="s">
        <v>681</v>
      </c>
      <c r="B1434" s="2" t="str">
        <f>HYPERLINK("https://www.telemundo51.com/noticias/salud/yogurt-fda-reducir-riesgo-diabetes/2536833/")</f>
        <v>https://www.telemundo51.com/noticias/salud/yogurt-fda-reducir-riesgo-diabetes/2536833/</v>
      </c>
      <c r="C1434" s="2" t="s">
        <v>2491</v>
      </c>
      <c r="D1434" s="3">
        <v>45418.79587962963</v>
      </c>
      <c r="E1434" s="2" t="s">
        <v>982</v>
      </c>
    </row>
    <row r="1435" spans="1:5" ht="56" x14ac:dyDescent="0.2">
      <c r="A1435" s="2" t="s">
        <v>681</v>
      </c>
      <c r="B1435" s="2" t="str">
        <f>HYPERLINK("https://www.telemundo40.com/noticias/salud/yogurt-fda-reducir-riesgo-diabetes/2363360/")</f>
        <v>https://www.telemundo40.com/noticias/salud/yogurt-fda-reducir-riesgo-diabetes/2363360/</v>
      </c>
      <c r="C1435" s="2" t="s">
        <v>1528</v>
      </c>
      <c r="D1435" s="3">
        <v>45418.797650462962</v>
      </c>
      <c r="E1435" s="2" t="s">
        <v>982</v>
      </c>
    </row>
    <row r="1436" spans="1:5" ht="56" x14ac:dyDescent="0.2">
      <c r="A1436" s="2" t="s">
        <v>681</v>
      </c>
      <c r="B1436" s="2" t="str">
        <f>HYPERLINK("https://www.telemundo49.com/noticias/salud/yogurt-fda-reducir-riesgo-diabetes/2270651/")</f>
        <v>https://www.telemundo49.com/noticias/salud/yogurt-fda-reducir-riesgo-diabetes/2270651/</v>
      </c>
      <c r="C1436" s="2" t="s">
        <v>1534</v>
      </c>
      <c r="D1436" s="3">
        <v>45418.798067129632</v>
      </c>
      <c r="E1436" s="2" t="s">
        <v>982</v>
      </c>
    </row>
    <row r="1437" spans="1:5" ht="56" x14ac:dyDescent="0.2">
      <c r="A1437" s="2" t="s">
        <v>681</v>
      </c>
      <c r="B1437" s="2" t="str">
        <f>HYPERLINK("https://www.telemundo33.com/noticias/salud/yogurt-fda-reducir-riesgo-diabetes/2219839/")</f>
        <v>https://www.telemundo33.com/noticias/salud/yogurt-fda-reducir-riesgo-diabetes/2219839/</v>
      </c>
      <c r="C1437" s="2" t="s">
        <v>1240</v>
      </c>
      <c r="D1437" s="3">
        <v>45418.798125000001</v>
      </c>
      <c r="E1437" s="2" t="s">
        <v>982</v>
      </c>
    </row>
    <row r="1438" spans="1:5" ht="56" x14ac:dyDescent="0.2">
      <c r="A1438" s="2" t="s">
        <v>681</v>
      </c>
      <c r="B1438" s="2" t="str">
        <f>HYPERLINK("https://www.telemundochicago.com/noticias/salud/yogurt-fda-reducir-riesgo-diabetes/2455441/")</f>
        <v>https://www.telemundochicago.com/noticias/salud/yogurt-fda-reducir-riesgo-diabetes/2455441/</v>
      </c>
      <c r="C1438" s="2" t="s">
        <v>2408</v>
      </c>
      <c r="D1438" s="3">
        <v>45418.798356481479</v>
      </c>
      <c r="E1438" s="2" t="s">
        <v>982</v>
      </c>
    </row>
    <row r="1439" spans="1:5" ht="56" x14ac:dyDescent="0.2">
      <c r="A1439" s="2" t="s">
        <v>681</v>
      </c>
      <c r="B1439" s="2" t="str">
        <f>HYPERLINK("https://www.telemundonuevomexico.com/noticias/salud/yogurt-fda-reducir-riesgo-diabetes/150207/")</f>
        <v>https://www.telemundonuevomexico.com/noticias/salud/yogurt-fda-reducir-riesgo-diabetes/150207/</v>
      </c>
      <c r="C1439" s="2" t="s">
        <v>981</v>
      </c>
      <c r="D1439" s="3">
        <v>45418.799398148149</v>
      </c>
      <c r="E1439" s="2" t="s">
        <v>982</v>
      </c>
    </row>
    <row r="1440" spans="1:5" ht="56" x14ac:dyDescent="0.2">
      <c r="A1440" s="2" t="s">
        <v>681</v>
      </c>
      <c r="B1440" s="2" t="str">
        <f>HYPERLINK("https://www.telemundofresno.com/noticias/salud/yogurt-fda-reducir-riesgo-diabetes/2214224/")</f>
        <v>https://www.telemundofresno.com/noticias/salud/yogurt-fda-reducir-riesgo-diabetes/2214224/</v>
      </c>
      <c r="C1440" s="2" t="s">
        <v>1183</v>
      </c>
      <c r="D1440" s="3">
        <v>45418.799421296288</v>
      </c>
      <c r="E1440" s="2" t="s">
        <v>982</v>
      </c>
    </row>
    <row r="1441" spans="1:5" ht="56" x14ac:dyDescent="0.2">
      <c r="A1441" s="2" t="s">
        <v>681</v>
      </c>
      <c r="B1441" s="2" t="str">
        <f>HYPERLINK("https://www.telemundoareadelabahia.com/noticias/salud/yogurt-fda-reducir-riesgo-diabetes/2389510/")</f>
        <v>https://www.telemundoareadelabahia.com/noticias/salud/yogurt-fda-reducir-riesgo-diabetes/2389510/</v>
      </c>
      <c r="C1441" s="2" t="s">
        <v>1921</v>
      </c>
      <c r="D1441" s="3">
        <v>45418.800335648149</v>
      </c>
      <c r="E1441" s="2" t="s">
        <v>982</v>
      </c>
    </row>
    <row r="1442" spans="1:5" ht="56" x14ac:dyDescent="0.2">
      <c r="A1442" s="2" t="s">
        <v>681</v>
      </c>
      <c r="B1442" s="2" t="str">
        <f>HYPERLINK("https://www.telemundowashingtondc.com/noticias/salud/yogurt-fda-reducir-riesgo-diabetes/2264584/")</f>
        <v>https://www.telemundowashingtondc.com/noticias/salud/yogurt-fda-reducir-riesgo-diabetes/2264584/</v>
      </c>
      <c r="C1442" s="2" t="s">
        <v>1757</v>
      </c>
      <c r="D1442" s="3">
        <v>45418.801249999997</v>
      </c>
      <c r="E1442" s="2" t="s">
        <v>982</v>
      </c>
    </row>
    <row r="1443" spans="1:5" ht="56" x14ac:dyDescent="0.2">
      <c r="A1443" s="2" t="s">
        <v>681</v>
      </c>
      <c r="B1443" s="2" t="str">
        <f>HYPERLINK("https://www.telemundoarizona.com/noticias/salud/yogurt-fda-reducir-riesgo-diabetes/2401747/")</f>
        <v>https://www.telemundoarizona.com/noticias/salud/yogurt-fda-reducir-riesgo-diabetes/2401747/</v>
      </c>
      <c r="C1443" s="2" t="s">
        <v>1287</v>
      </c>
      <c r="D1443" s="3">
        <v>45418.802534722221</v>
      </c>
      <c r="E1443" s="2" t="s">
        <v>982</v>
      </c>
    </row>
    <row r="1444" spans="1:5" ht="56" x14ac:dyDescent="0.2">
      <c r="A1444" s="2" t="s">
        <v>681</v>
      </c>
      <c r="B1444" s="2" t="str">
        <f>HYPERLINK("https://www.telemundo62.com/noticias/salud/yogurt-fda-reducir-riesgo-diabetes/2395891/")</f>
        <v>https://www.telemundo62.com/noticias/salud/yogurt-fda-reducir-riesgo-diabetes/2395891/</v>
      </c>
      <c r="C1444" s="2" t="s">
        <v>1396</v>
      </c>
      <c r="D1444" s="3">
        <v>45418.808993055558</v>
      </c>
      <c r="E1444" s="2" t="s">
        <v>982</v>
      </c>
    </row>
    <row r="1445" spans="1:5" ht="56" x14ac:dyDescent="0.2">
      <c r="A1445" s="2" t="s">
        <v>681</v>
      </c>
      <c r="B1445" s="2" t="str">
        <f>HYPERLINK("https://www.telemundo31.com/noticias/salud/yogurt-fda-reducir-riesgo-diabetes/2274996/")</f>
        <v>https://www.telemundo31.com/noticias/salud/yogurt-fda-reducir-riesgo-diabetes/2274996/</v>
      </c>
      <c r="C1445" s="2" t="s">
        <v>1656</v>
      </c>
      <c r="D1445" s="3">
        <v>45418.809236111112</v>
      </c>
      <c r="E1445" s="2" t="s">
        <v>982</v>
      </c>
    </row>
    <row r="1446" spans="1:5" ht="56" x14ac:dyDescent="0.2">
      <c r="A1446" s="2" t="s">
        <v>681</v>
      </c>
      <c r="B1446" s="2" t="str">
        <f>HYPERLINK("https://www.telemundoutah.com/noticias/salud/yogurt-fda-reducir-riesgo-diabetes/2270512/")</f>
        <v>https://www.telemundoutah.com/noticias/salud/yogurt-fda-reducir-riesgo-diabetes/2270512/</v>
      </c>
      <c r="C1446" s="2" t="s">
        <v>1373</v>
      </c>
      <c r="D1446" s="3">
        <v>45418.810914351852</v>
      </c>
      <c r="E1446" s="2" t="s">
        <v>982</v>
      </c>
    </row>
    <row r="1447" spans="1:5" ht="56" x14ac:dyDescent="0.2">
      <c r="A1447" s="2" t="s">
        <v>681</v>
      </c>
      <c r="B1447" s="2" t="str">
        <f>HYPERLINK("https://www.telemundo52.com/noticias/salud/yogurt-fda-reducir-riesgo-diabetes/2649139/")</f>
        <v>https://www.telemundo52.com/noticias/salud/yogurt-fda-reducir-riesgo-diabetes/2649139/</v>
      </c>
      <c r="C1447" s="2" t="s">
        <v>2251</v>
      </c>
      <c r="D1447" s="3">
        <v>45418.811921296299</v>
      </c>
      <c r="E1447" s="2" t="s">
        <v>982</v>
      </c>
    </row>
    <row r="1448" spans="1:5" ht="56" x14ac:dyDescent="0.2">
      <c r="A1448" s="2" t="s">
        <v>681</v>
      </c>
      <c r="B1448" s="2" t="str">
        <f>HYPERLINK("https://www.telemundodallas.com/noticias/salud/yogurt-fda-reducir-riesgo-diabetes/2425756/")</f>
        <v>https://www.telemundodallas.com/noticias/salud/yogurt-fda-reducir-riesgo-diabetes/2425756/</v>
      </c>
      <c r="C1448" s="2" t="s">
        <v>1571</v>
      </c>
      <c r="D1448" s="3">
        <v>45418.814432870371</v>
      </c>
      <c r="E1448" s="2" t="s">
        <v>982</v>
      </c>
    </row>
    <row r="1449" spans="1:5" ht="56" x14ac:dyDescent="0.2">
      <c r="A1449" s="2" t="s">
        <v>681</v>
      </c>
      <c r="B1449" s="2" t="str">
        <f>HYPERLINK("https://www.telemundolasvegas.com/noticias/salud/yogurt-fda-reducir-riesgo-diabetes/2335875/")</f>
        <v>https://www.telemundolasvegas.com/noticias/salud/yogurt-fda-reducir-riesgo-diabetes/2335875/</v>
      </c>
      <c r="C1449" s="2" t="s">
        <v>1293</v>
      </c>
      <c r="D1449" s="3">
        <v>45418.814456018517</v>
      </c>
      <c r="E1449" s="2" t="s">
        <v>982</v>
      </c>
    </row>
    <row r="1450" spans="1:5" ht="56" x14ac:dyDescent="0.2">
      <c r="A1450" s="2" t="s">
        <v>681</v>
      </c>
      <c r="B1450" s="2" t="str">
        <f>HYPERLINK("https://www.telemundonuevainglaterra.com/noticias/salud/yogurt-fda-reducir-riesgo-diabetes/2393168/")</f>
        <v>https://www.telemundonuevainglaterra.com/noticias/salud/yogurt-fda-reducir-riesgo-diabetes/2393168/</v>
      </c>
      <c r="C1450" s="2" t="s">
        <v>1756</v>
      </c>
      <c r="D1450" s="3">
        <v>45418.814560185187</v>
      </c>
      <c r="E1450" s="2" t="s">
        <v>982</v>
      </c>
    </row>
    <row r="1451" spans="1:5" ht="56" x14ac:dyDescent="0.2">
      <c r="A1451" s="2" t="s">
        <v>681</v>
      </c>
      <c r="B1451" s="2" t="str">
        <f>HYPERLINK("https://www.telemundodenver.com/noticias/salud/yogurt-fda-reducir-riesgo-diabetes/2343255/")</f>
        <v>https://www.telemundodenver.com/noticias/salud/yogurt-fda-reducir-riesgo-diabetes/2343255/</v>
      </c>
      <c r="C1451" s="2" t="s">
        <v>2366</v>
      </c>
      <c r="D1451" s="3">
        <v>45418.815034722233</v>
      </c>
      <c r="E1451" s="2" t="s">
        <v>982</v>
      </c>
    </row>
    <row r="1452" spans="1:5" ht="126" x14ac:dyDescent="0.2">
      <c r="A1452" s="2" t="s">
        <v>68</v>
      </c>
      <c r="B1452" s="2" t="str">
        <f>HYPERLINK("https://www.thewellnews.com/health/can-yogurt-reduce-the-risk-of-type-2-diabetes/")</f>
        <v>https://www.thewellnews.com/health/can-yogurt-reduce-the-risk-of-type-2-diabetes/</v>
      </c>
      <c r="C1452" s="2" t="s">
        <v>1671</v>
      </c>
      <c r="D1452" s="3">
        <v>45418.833333333343</v>
      </c>
      <c r="E1452" s="2" t="s">
        <v>291</v>
      </c>
    </row>
    <row r="1453" spans="1:5" ht="126" x14ac:dyDescent="0.2">
      <c r="A1453" s="2" t="s">
        <v>143</v>
      </c>
      <c r="B1453" s="2" t="str">
        <f>HYPERLINK("https://news.abs-cbn.com/lifestyle/2024/5/6/can-yogurt-reduce-the-risk-of-type-2-diabetes-748")</f>
        <v>https://news.abs-cbn.com/lifestyle/2024/5/6/can-yogurt-reduce-the-risk-of-type-2-diabetes-748</v>
      </c>
      <c r="C1453" s="2" t="s">
        <v>3165</v>
      </c>
      <c r="D1453" s="3">
        <v>45418.836736111109</v>
      </c>
      <c r="E1453" s="2" t="s">
        <v>550</v>
      </c>
    </row>
    <row r="1454" spans="1:5" ht="56" x14ac:dyDescent="0.2">
      <c r="A1454" s="2" t="s">
        <v>17</v>
      </c>
      <c r="B1454" s="2" t="str">
        <f>HYPERLINK("https://westobserver.com/is-yogurt-effective-in-lowering-the-risk-of-type-2-diabetes/")</f>
        <v>https://westobserver.com/is-yogurt-effective-in-lowering-the-risk-of-type-2-diabetes/</v>
      </c>
      <c r="C1454" s="2" t="s">
        <v>18</v>
      </c>
      <c r="D1454" s="3">
        <v>45418.852858796286</v>
      </c>
      <c r="E1454" s="2" t="s">
        <v>19</v>
      </c>
    </row>
    <row r="1455" spans="1:5" ht="28" x14ac:dyDescent="0.2">
      <c r="A1455" s="2" t="s">
        <v>2580</v>
      </c>
      <c r="B1455" s="2" t="str">
        <f>HYPERLINK("https://www.inkl.com/news/fda-allows-yogurt-claim-to-reduce-diabetes-risk")</f>
        <v>https://www.inkl.com/news/fda-allows-yogurt-claim-to-reduce-diabetes-risk</v>
      </c>
      <c r="C1455" s="2" t="s">
        <v>2569</v>
      </c>
      <c r="D1455" s="3">
        <v>45418.909872685188</v>
      </c>
      <c r="E1455" s="2" t="s">
        <v>2581</v>
      </c>
    </row>
    <row r="1456" spans="1:5" ht="42" x14ac:dyDescent="0.2">
      <c r="A1456" s="2" t="s">
        <v>143</v>
      </c>
      <c r="B1456" s="2" t="str">
        <f>HYPERLINK("https://www.cp24.com/world/can-yogurt-reduce-the-risk-of-type-2-diabetes-1.6876237")</f>
        <v>https://www.cp24.com/world/can-yogurt-reduce-the-risk-of-type-2-diabetes-1.6876237</v>
      </c>
      <c r="C1456" s="2" t="s">
        <v>3251</v>
      </c>
      <c r="D1456" s="3">
        <v>45418.920138888891</v>
      </c>
      <c r="E1456" s="2" t="s">
        <v>70</v>
      </c>
    </row>
    <row r="1457" spans="1:5" ht="56" x14ac:dyDescent="0.2">
      <c r="A1457" s="2" t="s">
        <v>143</v>
      </c>
      <c r="B1457" s="2" t="str">
        <f>HYPERLINK("https://www.thenassauguardian.com/lifestyles/can-yogurt-reduce-the-risk-of-type-2-diabetes/article_a00677c6-c9c6-50ad-b778-91c696258a2f.html")</f>
        <v>https://www.thenassauguardian.com/lifestyles/can-yogurt-reduce-the-risk-of-type-2-diabetes/article_a00677c6-c9c6-50ad-b778-91c696258a2f.html</v>
      </c>
      <c r="C1457" s="2" t="s">
        <v>1365</v>
      </c>
      <c r="D1457" s="3">
        <v>45419</v>
      </c>
      <c r="E1457" s="2" t="s">
        <v>70</v>
      </c>
    </row>
    <row r="1458" spans="1:5" ht="70" x14ac:dyDescent="0.2">
      <c r="A1458" s="2" t="s">
        <v>3422</v>
      </c>
      <c r="B1458" s="2" t="str">
        <f>HYPERLINK("https://podcasts.apple.com/us/podcast/how-worried-should-you-be-about-ultraprocessed-foods/id1501029683?i=1000654778084")</f>
        <v>https://podcasts.apple.com/us/podcast/how-worried-should-you-be-about-ultraprocessed-foods/id1501029683?i=1000654778084</v>
      </c>
      <c r="C1458" s="2" t="s">
        <v>3423</v>
      </c>
      <c r="D1458" s="3">
        <v>45419</v>
      </c>
      <c r="E1458" s="2" t="s">
        <v>3424</v>
      </c>
    </row>
    <row r="1459" spans="1:5" ht="42" x14ac:dyDescent="0.2">
      <c r="A1459" s="2" t="s">
        <v>4201</v>
      </c>
      <c r="B1459" s="2" t="str">
        <f>HYPERLINK("https://financialnews.com/category/health/does_yogurt_consumption_lower_type_2_diabetes_risk")</f>
        <v>https://financialnews.com/category/health/does_yogurt_consumption_lower_type_2_diabetes_risk</v>
      </c>
      <c r="C1459" s="2" t="s">
        <v>4202</v>
      </c>
      <c r="D1459" s="3">
        <v>45419</v>
      </c>
      <c r="E1459" s="2" t="s">
        <v>4203</v>
      </c>
    </row>
    <row r="1460" spans="1:5" ht="56" x14ac:dyDescent="0.2">
      <c r="A1460" s="2" t="s">
        <v>3667</v>
      </c>
      <c r="B1460" s="2" t="str">
        <f>HYPERLINK("https://www.hindustantimes.com/lifestyle/can-eating-yogurt-really-reduce-your-risk-of-type-2-diabetes-101715055962886.html")</f>
        <v>https://www.hindustantimes.com/lifestyle/can-eating-yogurt-really-reduce-your-risk-of-type-2-diabetes-101715055962886.html</v>
      </c>
      <c r="C1460" s="2" t="s">
        <v>3661</v>
      </c>
      <c r="D1460" s="3">
        <v>45419.033125000002</v>
      </c>
      <c r="E1460" s="2" t="s">
        <v>70</v>
      </c>
    </row>
    <row r="1461" spans="1:5" ht="42" x14ac:dyDescent="0.2">
      <c r="A1461" s="2" t="s">
        <v>1348</v>
      </c>
      <c r="B1461" s="2" t="str">
        <f>HYPERLINK("https://thenorthlines.com/does-eating-yogurt-truly-lower-your-risk-of-type-2-diabetes/")</f>
        <v>https://thenorthlines.com/does-eating-yogurt-truly-lower-your-risk-of-type-2-diabetes/</v>
      </c>
      <c r="C1461" s="2" t="s">
        <v>1349</v>
      </c>
      <c r="D1461" s="3">
        <v>45419.228182870371</v>
      </c>
      <c r="E1461" s="2" t="s">
        <v>70</v>
      </c>
    </row>
    <row r="1462" spans="1:5" ht="42" x14ac:dyDescent="0.2">
      <c r="A1462" s="2" t="s">
        <v>2362</v>
      </c>
      <c r="B1462" s="2" t="str">
        <f>HYPERLINK("https://www.albawaba.com/lifestyle/does-consuming-yogurt-really-reduce-risk-type-2-diabetes-1564966")</f>
        <v>https://www.albawaba.com/lifestyle/does-consuming-yogurt-really-reduce-risk-type-2-diabetes-1564966</v>
      </c>
      <c r="C1462" s="2" t="s">
        <v>2363</v>
      </c>
      <c r="D1462" s="3">
        <v>45419.246238425927</v>
      </c>
      <c r="E1462" s="2" t="s">
        <v>70</v>
      </c>
    </row>
    <row r="1463" spans="1:5" ht="42" x14ac:dyDescent="0.2">
      <c r="A1463" s="2" t="s">
        <v>68</v>
      </c>
      <c r="B1463" s="2" t="str">
        <f>HYPERLINK("https://thejewishvoice.com/2024/05/can-yogurt-reduce-the-risk-of-type-2-diabetes/")</f>
        <v>https://thejewishvoice.com/2024/05/can-yogurt-reduce-the-risk-of-type-2-diabetes/</v>
      </c>
      <c r="C1463" s="2" t="s">
        <v>69</v>
      </c>
      <c r="D1463" s="3">
        <v>45419.264004629629</v>
      </c>
      <c r="E1463" s="2" t="s">
        <v>70</v>
      </c>
    </row>
    <row r="1464" spans="1:5" ht="409.6" x14ac:dyDescent="0.2">
      <c r="A1464" s="2" t="s">
        <v>3369</v>
      </c>
      <c r="B1464" s="2" t="str">
        <f>HYPERLINK("https://www.newsmax.com/health/health-news/yogurt-diabetes-qualified-health-claim-fda/2024/05/07/id/1163740/")</f>
        <v>https://www.newsmax.com/health/health-news/yogurt-diabetes-qualified-health-claim-fda/2024/05/07/id/1163740/</v>
      </c>
      <c r="C1464" s="2" t="s">
        <v>3367</v>
      </c>
      <c r="D1464" s="3">
        <v>45419.321736111109</v>
      </c>
      <c r="E1464" s="2" t="s">
        <v>3370</v>
      </c>
    </row>
    <row r="1465" spans="1:5" ht="42" x14ac:dyDescent="0.2">
      <c r="A1465" s="2" t="s">
        <v>143</v>
      </c>
      <c r="B1465" s="2" t="str">
        <f>HYPERLINK("https://www.breezecourier.com/2024/05/07/can-yogurt-reduce-the-risk-of-type-2-diabetes/")</f>
        <v>https://www.breezecourier.com/2024/05/07/can-yogurt-reduce-the-risk-of-type-2-diabetes/</v>
      </c>
      <c r="C1465" s="2" t="s">
        <v>989</v>
      </c>
      <c r="D1465" s="3">
        <v>45419.347743055558</v>
      </c>
      <c r="E1465" s="2" t="s">
        <v>70</v>
      </c>
    </row>
    <row r="1466" spans="1:5" ht="409.6" x14ac:dyDescent="0.2">
      <c r="A1466" s="2" t="s">
        <v>1499</v>
      </c>
      <c r="B1466" s="2" t="str">
        <f>HYPERLINK("https://time.news/eating-2-cups-of-yogurt-every-week-prevents-diabetes-can-i-trust-you/")</f>
        <v>https://time.news/eating-2-cups-of-yogurt-every-week-prevents-diabetes-can-i-trust-you/</v>
      </c>
      <c r="C1466" s="2" t="s">
        <v>1497</v>
      </c>
      <c r="D1466" s="3">
        <v>45419.381956018522</v>
      </c>
      <c r="E1466" s="2" t="s">
        <v>1500</v>
      </c>
    </row>
    <row r="1467" spans="1:5" ht="126" x14ac:dyDescent="0.2">
      <c r="A1467" s="2" t="s">
        <v>143</v>
      </c>
      <c r="B1467" s="2" t="str">
        <f>HYPERLINK("http://swifttelecast.com/can-yogurt-reduce-the-risk-of-type-2-diabetes/")</f>
        <v>http://swifttelecast.com/can-yogurt-reduce-the-risk-of-type-2-diabetes/</v>
      </c>
      <c r="C1467" s="2" t="s">
        <v>283</v>
      </c>
      <c r="D1467" s="3">
        <v>45419.386284722219</v>
      </c>
      <c r="E1467" s="2" t="s">
        <v>291</v>
      </c>
    </row>
    <row r="1468" spans="1:5" ht="70" x14ac:dyDescent="0.2">
      <c r="A1468" s="2" t="s">
        <v>143</v>
      </c>
      <c r="B1468" s="2" t="str">
        <f>HYPERLINK("https://www.arabtimesonline.com/news/can-yogurt-reduce-the-risk-of-type-2-diabetes/")</f>
        <v>https://www.arabtimesonline.com/news/can-yogurt-reduce-the-risk-of-type-2-diabetes/</v>
      </c>
      <c r="C1468" s="2" t="s">
        <v>2371</v>
      </c>
      <c r="D1468" s="3">
        <v>45419.502083333333</v>
      </c>
      <c r="E1468" s="2" t="s">
        <v>2372</v>
      </c>
    </row>
    <row r="1469" spans="1:5" ht="56" x14ac:dyDescent="0.2">
      <c r="A1469" s="2" t="s">
        <v>1991</v>
      </c>
      <c r="B1469" s="2" t="str">
        <f>HYPERLINK("https://foodprint.org/blog/are-natural-flavors-better-than-artificial/")</f>
        <v>https://foodprint.org/blog/are-natural-flavors-better-than-artificial/</v>
      </c>
      <c r="C1469" s="2" t="s">
        <v>1989</v>
      </c>
      <c r="D1469" s="3">
        <v>45419.515405092592</v>
      </c>
      <c r="E1469" s="2" t="s">
        <v>1992</v>
      </c>
    </row>
    <row r="1470" spans="1:5" ht="98" x14ac:dyDescent="0.2">
      <c r="A1470" s="2" t="s">
        <v>1036</v>
      </c>
      <c r="B1470" s="2" t="str">
        <f>HYPERLINK("https://exbulletin.com/uncategorized/2689314/")</f>
        <v>https://exbulletin.com/uncategorized/2689314/</v>
      </c>
      <c r="C1470" s="2" t="s">
        <v>1034</v>
      </c>
      <c r="D1470" s="3">
        <v>45419.521539351852</v>
      </c>
      <c r="E1470" s="2" t="s">
        <v>1037</v>
      </c>
    </row>
    <row r="1471" spans="1:5" ht="56" x14ac:dyDescent="0.2">
      <c r="A1471" s="2" t="s">
        <v>253</v>
      </c>
      <c r="B1471" s="2" t="str">
        <f>HYPERLINK("https://germanic.news/was-kein-cholesterin-und-glutenfrei-auf-lebensmitteletiketten-bedeuten/")</f>
        <v>https://germanic.news/was-kein-cholesterin-und-glutenfrei-auf-lebensmitteletiketten-bedeuten/</v>
      </c>
      <c r="C1471" s="2" t="s">
        <v>243</v>
      </c>
      <c r="D1471" s="3">
        <v>45419.696412037039</v>
      </c>
      <c r="E1471" s="2" t="s">
        <v>254</v>
      </c>
    </row>
    <row r="1472" spans="1:5" ht="42" x14ac:dyDescent="0.2">
      <c r="A1472" s="2" t="s">
        <v>2271</v>
      </c>
      <c r="B1472" s="2" t="str">
        <f>HYPERLINK("https://www.businesstoday.com.my/2024/05/08/can-yogurt-reduce-the-risk-of-type-2-diabetes/")</f>
        <v>https://www.businesstoday.com.my/2024/05/08/can-yogurt-reduce-the-risk-of-type-2-diabetes/</v>
      </c>
      <c r="C1472" s="2" t="s">
        <v>2272</v>
      </c>
      <c r="D1472" s="3">
        <v>45419.842129629629</v>
      </c>
      <c r="E1472" s="2" t="s">
        <v>2273</v>
      </c>
    </row>
    <row r="1473" spans="1:5" ht="84" x14ac:dyDescent="0.2">
      <c r="A1473" s="2" t="s">
        <v>1696</v>
      </c>
      <c r="B1473" s="2" t="str">
        <f>HYPERLINK("https://lajme.rtsh.al/artikull/studimi-ushqimet-ultra-te-perpunuara-lidhen-me-vdekjen-e-hershme-produktet-qe-duhet-te-shmangni")</f>
        <v>https://lajme.rtsh.al/artikull/studimi-ushqimet-ultra-te-perpunuara-lidhen-me-vdekjen-e-hershme-produktet-qe-duhet-te-shmangni</v>
      </c>
      <c r="C1473" s="2" t="s">
        <v>1697</v>
      </c>
      <c r="D1473" s="3">
        <v>45420</v>
      </c>
      <c r="E1473" s="2" t="s">
        <v>1698</v>
      </c>
    </row>
    <row r="1474" spans="1:5" ht="98" x14ac:dyDescent="0.2">
      <c r="A1474" s="2" t="s">
        <v>1450</v>
      </c>
      <c r="B1474" s="2" t="str">
        <f>HYPERLINK("https://www.ktbs.com/news/health/ultraprocessed-foods-linked-with-early-death-according-to-30-years-of-research/article_bdbf8d00-c2ef-52d2-b0d9-3eeb5ec360f4.html")</f>
        <v>https://www.ktbs.com/news/health/ultraprocessed-foods-linked-with-early-death-according-to-30-years-of-research/article_bdbf8d00-c2ef-52d2-b0d9-3eeb5ec360f4.html</v>
      </c>
      <c r="C1474" s="2" t="s">
        <v>2216</v>
      </c>
      <c r="D1474" s="3">
        <v>45420</v>
      </c>
      <c r="E1474" s="2" t="s">
        <v>102</v>
      </c>
    </row>
    <row r="1475" spans="1:5" ht="84" x14ac:dyDescent="0.2">
      <c r="A1475" s="2" t="s">
        <v>2333</v>
      </c>
      <c r="B1475" s="2" t="str">
        <f>HYPERLINK("https://www.ziuanews.ro/stiri/descoperire-dup-3-decenii-de-cercetare-ne-tiut-de-oameni-alimentele-care-i-scurteaz-cu-mul-i-ani-via-a-1582438")</f>
        <v>https://www.ziuanews.ro/stiri/descoperire-dup-3-decenii-de-cercetare-ne-tiut-de-oameni-alimentele-care-i-scurteaz-cu-mul-i-ani-via-a-1582438</v>
      </c>
      <c r="C1475" s="2" t="s">
        <v>2334</v>
      </c>
      <c r="D1475" s="3">
        <v>45420</v>
      </c>
      <c r="E1475" s="2" t="s">
        <v>2335</v>
      </c>
    </row>
    <row r="1476" spans="1:5" ht="98" x14ac:dyDescent="0.2">
      <c r="A1476" s="2" t="s">
        <v>1450</v>
      </c>
      <c r="B1476" s="2" t="str">
        <f>HYPERLINK("https://www.news8000.com/lifestyle/health/ultraprocessed-foods-linked-with-early-death-according-to-30-years-of-research/article_49f5307f-9149-56aa-a97d-0346a3cca74a.html")</f>
        <v>https://www.news8000.com/lifestyle/health/ultraprocessed-foods-linked-with-early-death-according-to-30-years-of-research/article_49f5307f-9149-56aa-a97d-0346a3cca74a.html</v>
      </c>
      <c r="C1476" s="2" t="s">
        <v>2192</v>
      </c>
      <c r="D1476" s="3">
        <v>45420</v>
      </c>
      <c r="E1476" s="2" t="s">
        <v>102</v>
      </c>
    </row>
    <row r="1477" spans="1:5" ht="98" x14ac:dyDescent="0.2">
      <c r="A1477" s="2" t="s">
        <v>101</v>
      </c>
      <c r="B1477" s="2" t="str">
        <f>HYPERLINK("https://www.news8000.com/lifestyle/health/here-are-the-ultraprocessed-foods-you-most-need-to-avoid-according-to-a-30-year/article_49f5307f-9149-56aa-a97d-0346a3cca74a.html")</f>
        <v>https://www.news8000.com/lifestyle/health/here-are-the-ultraprocessed-foods-you-most-need-to-avoid-according-to-a-30-year/article_49f5307f-9149-56aa-a97d-0346a3cca74a.html</v>
      </c>
      <c r="C1477" s="2" t="s">
        <v>2192</v>
      </c>
      <c r="D1477" s="3">
        <v>45420</v>
      </c>
      <c r="E1477" s="2" t="s">
        <v>102</v>
      </c>
    </row>
    <row r="1478" spans="1:5" ht="42" x14ac:dyDescent="0.2">
      <c r="A1478" s="2" t="s">
        <v>143</v>
      </c>
      <c r="B1478" s="2" t="str">
        <f>HYPERLINK("https://dunyanews.tv/en/Health/810216-Can-yogurt-reduce-the-risk-of-Type-2-diabetes")</f>
        <v>https://dunyanews.tv/en/Health/810216-Can-yogurt-reduce-the-risk-of-Type-2-diabetes</v>
      </c>
      <c r="C1478" s="2" t="s">
        <v>2542</v>
      </c>
      <c r="D1478" s="3">
        <v>45420</v>
      </c>
      <c r="E1478" s="2" t="s">
        <v>70</v>
      </c>
    </row>
    <row r="1479" spans="1:5" ht="42" x14ac:dyDescent="0.2">
      <c r="A1479" s="2" t="s">
        <v>143</v>
      </c>
      <c r="B1479" s="2" t="str">
        <f>HYPERLINK("https://whdh.com/news/can-yogurt-reduce-the-risk-of-type-2-diabetes/")</f>
        <v>https://whdh.com/news/can-yogurt-reduce-the-risk-of-type-2-diabetes/</v>
      </c>
      <c r="C1479" s="2" t="s">
        <v>2722</v>
      </c>
      <c r="D1479" s="3">
        <v>45420.1953125</v>
      </c>
      <c r="E1479" s="2" t="s">
        <v>70</v>
      </c>
    </row>
    <row r="1480" spans="1:5" ht="56" x14ac:dyDescent="0.2">
      <c r="A1480" s="2" t="s">
        <v>681</v>
      </c>
      <c r="B1480" s="2" t="str">
        <f>HYPERLINK("https://saludnews.net/comes-yogurt-la-fda-dice-que-podria-reducir-el-riesgo-de-diabetes/")</f>
        <v>https://saludnews.net/comes-yogurt-la-fda-dice-que-podria-reducir-el-riesgo-de-diabetes/</v>
      </c>
      <c r="C1480" s="2" t="s">
        <v>682</v>
      </c>
      <c r="D1480" s="3">
        <v>45420.421770833331</v>
      </c>
      <c r="E1480" s="2" t="s">
        <v>683</v>
      </c>
    </row>
    <row r="1481" spans="1:5" ht="56" x14ac:dyDescent="0.2">
      <c r="A1481" s="2" t="s">
        <v>2574</v>
      </c>
      <c r="B1481" s="2" t="str">
        <f>HYPERLINK("https://www.inkl.com/news/what-is-naturally-flavored-foods")</f>
        <v>https://www.inkl.com/news/what-is-naturally-flavored-foods</v>
      </c>
      <c r="C1481" s="2" t="s">
        <v>2569</v>
      </c>
      <c r="D1481" s="3">
        <v>45420.56322916667</v>
      </c>
      <c r="E1481" s="2" t="s">
        <v>1992</v>
      </c>
    </row>
    <row r="1482" spans="1:5" ht="56" x14ac:dyDescent="0.2">
      <c r="A1482" s="2" t="s">
        <v>1991</v>
      </c>
      <c r="B1482" s="2" t="str">
        <f>HYPERLINK("https://www.salon.com/2024/05/08/are-natural-flavors-better-than-artificial_partner/")</f>
        <v>https://www.salon.com/2024/05/08/are-natural-flavors-better-than-artificial_partner/</v>
      </c>
      <c r="C1482" s="2" t="s">
        <v>3316</v>
      </c>
      <c r="D1482" s="3">
        <v>45420.565405092602</v>
      </c>
      <c r="E1482" s="2" t="s">
        <v>1992</v>
      </c>
    </row>
    <row r="1483" spans="1:5" ht="98" x14ac:dyDescent="0.2">
      <c r="A1483" s="2" t="s">
        <v>101</v>
      </c>
      <c r="B1483" s="2" t="str">
        <f>HYPERLINK("https://newsexplorer.net/here-are-the-ultraprocessed-foods-you-most-need-to-avoid-according-to-a-30-year-study-s2693265.html")</f>
        <v>https://newsexplorer.net/here-are-the-ultraprocessed-foods-you-most-need-to-avoid-according-to-a-30-year-study-s2693265.html</v>
      </c>
      <c r="C1483" s="2" t="s">
        <v>1067</v>
      </c>
      <c r="D1483" s="3">
        <v>45420.633784722217</v>
      </c>
      <c r="E1483" s="2" t="s">
        <v>1070</v>
      </c>
    </row>
    <row r="1484" spans="1:5" ht="98" x14ac:dyDescent="0.2">
      <c r="A1484" s="2" t="s">
        <v>101</v>
      </c>
      <c r="B1484" s="2" t="str">
        <f>HYPERLINK("https://vnexplorer.net/here-are-the-ultraprocessed-foods-you-most-need-to-avoid-according-to-a-30-year-study-s2693265.html")</f>
        <v>https://vnexplorer.net/here-are-the-ultraprocessed-foods-you-most-need-to-avoid-according-to-a-30-year-study-s2693265.html</v>
      </c>
      <c r="C1484" s="2" t="s">
        <v>1334</v>
      </c>
      <c r="D1484" s="3">
        <v>45420.633784722217</v>
      </c>
      <c r="E1484" s="2" t="s">
        <v>1070</v>
      </c>
    </row>
    <row r="1485" spans="1:5" ht="84" x14ac:dyDescent="0.2">
      <c r="A1485" s="2" t="s">
        <v>2507</v>
      </c>
      <c r="B1485" s="2" t="str">
        <f>HYPERLINK("https://childrenshealthdefense.org/defender/bf-dairy-farm-workers-contract-h5n1-risk-pandemic/")</f>
        <v>https://childrenshealthdefense.org/defender/bf-dairy-farm-workers-contract-h5n1-risk-pandemic/</v>
      </c>
      <c r="C1485" s="2" t="s">
        <v>2505</v>
      </c>
      <c r="D1485" s="3">
        <v>45420.690046296288</v>
      </c>
      <c r="E1485" s="2" t="s">
        <v>557</v>
      </c>
    </row>
    <row r="1486" spans="1:5" ht="56" x14ac:dyDescent="0.2">
      <c r="A1486" s="2" t="s">
        <v>1991</v>
      </c>
      <c r="B1486" s="2" t="str">
        <f>HYPERLINK("https://www.newsbreak.com/news/3431110241155-are-natural-flavors-better-than-artificial")</f>
        <v>https://www.newsbreak.com/news/3431110241155-are-natural-flavors-better-than-artificial</v>
      </c>
      <c r="C1486" s="2" t="s">
        <v>3461</v>
      </c>
      <c r="D1486" s="3">
        <v>45420.729895833327</v>
      </c>
      <c r="E1486" s="2" t="s">
        <v>1992</v>
      </c>
    </row>
    <row r="1487" spans="1:5" ht="42" x14ac:dyDescent="0.2">
      <c r="A1487" s="2" t="s">
        <v>2306</v>
      </c>
      <c r="B1487" s="2" t="str">
        <f>HYPERLINK("https://www.air1.com/news/health/can-yogurt-reduce-the-risk-of-type-2-diabetes-50167")</f>
        <v>https://www.air1.com/news/health/can-yogurt-reduce-the-risk-of-type-2-diabetes-50167</v>
      </c>
      <c r="C1487" s="2" t="s">
        <v>2307</v>
      </c>
      <c r="D1487" s="3">
        <v>45420.764143518521</v>
      </c>
      <c r="E1487" s="2" t="s">
        <v>70</v>
      </c>
    </row>
    <row r="1488" spans="1:5" ht="70" x14ac:dyDescent="0.2">
      <c r="A1488" s="2" t="s">
        <v>1450</v>
      </c>
      <c r="B1488" s="2" t="str">
        <f>HYPERLINK("https://www.aol.com/news/ultraprocessed-foods-linked-early-death-223002051.html")</f>
        <v>https://www.aol.com/news/ultraprocessed-foods-linked-early-death-223002051.html</v>
      </c>
      <c r="C1488" s="2" t="s">
        <v>3592</v>
      </c>
      <c r="D1488" s="3">
        <v>45420.770856481482</v>
      </c>
      <c r="E1488" s="2" t="s">
        <v>493</v>
      </c>
    </row>
    <row r="1489" spans="1:5" ht="70" x14ac:dyDescent="0.2">
      <c r="A1489" s="2" t="s">
        <v>1450</v>
      </c>
      <c r="B1489" s="2" t="str">
        <f>HYPERLINK("https://www.yahoo.com/news/ultraprocessed-foods-linked-early-death-223002085.html")</f>
        <v>https://www.yahoo.com/news/ultraprocessed-foods-linked-early-death-223002085.html</v>
      </c>
      <c r="C1489" s="2" t="s">
        <v>3728</v>
      </c>
      <c r="D1489" s="3">
        <v>45420.770856481482</v>
      </c>
      <c r="E1489" s="2" t="s">
        <v>493</v>
      </c>
    </row>
    <row r="1490" spans="1:5" ht="70" x14ac:dyDescent="0.2">
      <c r="A1490" s="2" t="s">
        <v>101</v>
      </c>
      <c r="B1490" s="2" t="str">
        <f>HYPERLINK("https://www.cnn.com/2024/05/08/health/ultraprocessed-foods-death-study-wellness/index.html")</f>
        <v>https://www.cnn.com/2024/05/08/health/ultraprocessed-foods-death-study-wellness/index.html</v>
      </c>
      <c r="C1490" s="2" t="s">
        <v>3705</v>
      </c>
      <c r="D1490" s="3">
        <v>45420.773298611108</v>
      </c>
      <c r="E1490" s="2" t="s">
        <v>493</v>
      </c>
    </row>
    <row r="1491" spans="1:5" ht="70" x14ac:dyDescent="0.2">
      <c r="A1491" s="2" t="s">
        <v>1450</v>
      </c>
      <c r="B1491" s="2" t="str">
        <f>HYPERLINK("https://kesq.com/health/cnn-health/2024/05/08/ultraprocessed-foods-linked-with-early-death-according-to-30-years-of-research/")</f>
        <v>https://kesq.com/health/cnn-health/2024/05/08/ultraprocessed-foods-linked-with-early-death-according-to-30-years-of-research/</v>
      </c>
      <c r="C1491" s="2" t="s">
        <v>2448</v>
      </c>
      <c r="D1491" s="3">
        <v>45420.774039351847</v>
      </c>
      <c r="E1491" s="2" t="s">
        <v>493</v>
      </c>
    </row>
    <row r="1492" spans="1:5" ht="98" x14ac:dyDescent="0.2">
      <c r="A1492" s="2" t="s">
        <v>1450</v>
      </c>
      <c r="B1492" s="2" t="str">
        <f>HYPERLINK("https://rivercountry.newschannelnebraska.com/story/50763456/ultraprocessed-foods-linked-with-early-death-according-to-30-years-of-research")</f>
        <v>https://rivercountry.newschannelnebraska.com/story/50763456/ultraprocessed-foods-linked-with-early-death-according-to-30-years-of-research</v>
      </c>
      <c r="C1492" s="2" t="s">
        <v>1451</v>
      </c>
      <c r="D1492" s="3">
        <v>45420.777083333327</v>
      </c>
      <c r="E1492" s="2" t="s">
        <v>102</v>
      </c>
    </row>
    <row r="1493" spans="1:5" ht="98" x14ac:dyDescent="0.2">
      <c r="A1493" s="2" t="s">
        <v>101</v>
      </c>
      <c r="B1493" s="2" t="str">
        <f>HYPERLINK("https://www.kten.com/story/50763456/here-are-the-ultraprocessed-foods-you-most-need-to-avoid-according-to-a-30-year-study")</f>
        <v>https://www.kten.com/story/50763456/here-are-the-ultraprocessed-foods-you-most-need-to-avoid-according-to-a-30-year-study</v>
      </c>
      <c r="C1493" s="2" t="s">
        <v>1841</v>
      </c>
      <c r="D1493" s="3">
        <v>45420.777083333327</v>
      </c>
      <c r="E1493" s="2" t="s">
        <v>102</v>
      </c>
    </row>
    <row r="1494" spans="1:5" ht="70" x14ac:dyDescent="0.2">
      <c r="A1494" s="2" t="s">
        <v>1450</v>
      </c>
      <c r="B1494" s="2" t="str">
        <f>HYPERLINK("https://keyt.com/health/cnn-health/2024/05/08/ultraprocessed-foods-linked-with-early-death-according-to-30-years-of-research/")</f>
        <v>https://keyt.com/health/cnn-health/2024/05/08/ultraprocessed-foods-linked-with-early-death-according-to-30-years-of-research/</v>
      </c>
      <c r="C1494" s="2" t="s">
        <v>2330</v>
      </c>
      <c r="D1494" s="3">
        <v>45420.777812499997</v>
      </c>
      <c r="E1494" s="2" t="s">
        <v>493</v>
      </c>
    </row>
    <row r="1495" spans="1:5" ht="70" x14ac:dyDescent="0.2">
      <c r="A1495" s="2" t="s">
        <v>1450</v>
      </c>
      <c r="B1495" s="2" t="str">
        <f>HYPERLINK("https://abc17news.com/cnn-health/2024/05/08/ultraprocessed-foods-linked-with-early-death-according-to-30-years-of-research/")</f>
        <v>https://abc17news.com/cnn-health/2024/05/08/ultraprocessed-foods-linked-with-early-death-according-to-30-years-of-research/</v>
      </c>
      <c r="C1495" s="2" t="s">
        <v>2484</v>
      </c>
      <c r="D1495" s="3">
        <v>45420.778414351851</v>
      </c>
      <c r="E1495" s="2" t="s">
        <v>493</v>
      </c>
    </row>
    <row r="1496" spans="1:5" ht="70" x14ac:dyDescent="0.2">
      <c r="A1496" s="2" t="s">
        <v>1450</v>
      </c>
      <c r="B1496" s="2" t="str">
        <f>HYPERLINK("https://ktvz.com/health/cnn-health/2024/05/08/ultraprocessed-foods-linked-with-early-death-according-to-30-years-of-research/")</f>
        <v>https://ktvz.com/health/cnn-health/2024/05/08/ultraprocessed-foods-linked-with-early-death-according-to-30-years-of-research/</v>
      </c>
      <c r="C1496" s="2" t="s">
        <v>2747</v>
      </c>
      <c r="D1496" s="3">
        <v>45420.782268518517</v>
      </c>
      <c r="E1496" s="2" t="s">
        <v>493</v>
      </c>
    </row>
    <row r="1497" spans="1:5" ht="98" x14ac:dyDescent="0.2">
      <c r="A1497" s="2" t="s">
        <v>1450</v>
      </c>
      <c r="B1497" s="2" t="str">
        <f>HYPERLINK("https://www.crossroadstoday.com/news/health/ultraprocessed-foods-linked-with-early-death-according-to-30-years-of-research/article_2876a4a9-972d-5fe1-a5d3-62b2594dad17.html")</f>
        <v>https://www.crossroadstoday.com/news/health/ultraprocessed-foods-linked-with-early-death-according-to-30-years-of-research/article_2876a4a9-972d-5fe1-a5d3-62b2594dad17.html</v>
      </c>
      <c r="C1497" s="2" t="s">
        <v>1821</v>
      </c>
      <c r="D1497" s="3">
        <v>45420.785462962973</v>
      </c>
      <c r="E1497" s="2" t="s">
        <v>102</v>
      </c>
    </row>
    <row r="1498" spans="1:5" ht="98" x14ac:dyDescent="0.2">
      <c r="A1498" s="2" t="s">
        <v>1450</v>
      </c>
      <c r="B1498" s="2" t="str">
        <f>HYPERLINK("https://www.koamnewsnow.com/news/health/ultraprocessed-foods-linked-with-early-death-according-to-30-years-of-research/article_a5a62fec-aac6-5e67-a0eb-b99c3de4676a.html")</f>
        <v>https://www.koamnewsnow.com/news/health/ultraprocessed-foods-linked-with-early-death-according-to-30-years-of-research/article_a5a62fec-aac6-5e67-a0eb-b99c3de4676a.html</v>
      </c>
      <c r="C1498" s="2" t="s">
        <v>2024</v>
      </c>
      <c r="D1498" s="3">
        <v>45420.789699074077</v>
      </c>
      <c r="E1498" s="2" t="s">
        <v>102</v>
      </c>
    </row>
    <row r="1499" spans="1:5" ht="70" x14ac:dyDescent="0.2">
      <c r="A1499" s="2" t="s">
        <v>1450</v>
      </c>
      <c r="B1499" s="2" t="str">
        <f>HYPERLINK("https://krdo.com/news/2024/05/08/ultraprocessed-foods-linked-with-early-death-according-to-30-years-of-research/")</f>
        <v>https://krdo.com/news/2024/05/08/ultraprocessed-foods-linked-with-early-death-according-to-30-years-of-research/</v>
      </c>
      <c r="C1499" s="2" t="s">
        <v>2558</v>
      </c>
      <c r="D1499" s="3">
        <v>45420.792349537027</v>
      </c>
      <c r="E1499" s="2" t="s">
        <v>493</v>
      </c>
    </row>
    <row r="1500" spans="1:5" ht="98" x14ac:dyDescent="0.2">
      <c r="A1500" s="2" t="s">
        <v>1450</v>
      </c>
      <c r="B1500" s="2" t="str">
        <f>HYPERLINK("https://www.wsiltv.com/news/health/ultraprocessed-foods-linked-with-early-death-according-to-30-years-of-research/article_a0a7db89-54f6-5090-bb7a-6f87368176ff.html")</f>
        <v>https://www.wsiltv.com/news/health/ultraprocessed-foods-linked-with-early-death-according-to-30-years-of-research/article_a0a7db89-54f6-5090-bb7a-6f87368176ff.html</v>
      </c>
      <c r="C1500" s="2" t="s">
        <v>2232</v>
      </c>
      <c r="D1500" s="3">
        <v>45420.792430555557</v>
      </c>
      <c r="E1500" s="2" t="s">
        <v>102</v>
      </c>
    </row>
    <row r="1501" spans="1:5" ht="98" x14ac:dyDescent="0.2">
      <c r="A1501" s="2" t="s">
        <v>1450</v>
      </c>
      <c r="B1501" s="2" t="str">
        <f>HYPERLINK("https://www.wevv.com/news/health/ultraprocessed-foods-linked-with-early-death-according-to-30-years-of-research/article_2ac0d43e-c632-56e7-be04-3d2357df9d4d.html")</f>
        <v>https://www.wevv.com/news/health/ultraprocessed-foods-linked-with-early-death-according-to-30-years-of-research/article_2ac0d43e-c632-56e7-be04-3d2357df9d4d.html</v>
      </c>
      <c r="C1501" s="2" t="s">
        <v>1926</v>
      </c>
      <c r="D1501" s="3">
        <v>45420.792627314811</v>
      </c>
      <c r="E1501" s="2" t="s">
        <v>102</v>
      </c>
    </row>
    <row r="1502" spans="1:5" ht="70" x14ac:dyDescent="0.2">
      <c r="A1502" s="2" t="s">
        <v>1962</v>
      </c>
      <c r="B1502" s="2" t="str">
        <f>HYPERLINK("https://kion546.com/health/cnn-health/2024/05/08/ultraprocessed-foods-linked-with-early-death-according-to-30-years-of-research/")</f>
        <v>https://kion546.com/health/cnn-health/2024/05/08/ultraprocessed-foods-linked-with-early-death-according-to-30-years-of-research/</v>
      </c>
      <c r="C1502" s="2" t="s">
        <v>1955</v>
      </c>
      <c r="D1502" s="3">
        <v>45420.802418981482</v>
      </c>
      <c r="E1502" s="2" t="s">
        <v>493</v>
      </c>
    </row>
    <row r="1503" spans="1:5" ht="70" x14ac:dyDescent="0.2">
      <c r="A1503" s="2" t="s">
        <v>2223</v>
      </c>
      <c r="B1503" s="2" t="str">
        <f>HYPERLINK("https://localnews8.com/health/2024/05/08/ultraprocessed-foods-linked-with-early-death-according-to-30-years-of-research/")</f>
        <v>https://localnews8.com/health/2024/05/08/ultraprocessed-foods-linked-with-early-death-according-to-30-years-of-research/</v>
      </c>
      <c r="C1503" s="2" t="s">
        <v>2164</v>
      </c>
      <c r="D1503" s="3">
        <v>45420.804861111108</v>
      </c>
      <c r="E1503" s="2" t="s">
        <v>493</v>
      </c>
    </row>
    <row r="1504" spans="1:5" ht="126" x14ac:dyDescent="0.2">
      <c r="A1504" s="2" t="s">
        <v>393</v>
      </c>
      <c r="B1504" s="2" t="str">
        <f>HYPERLINK("https://pressnewsagency.org/ultraprocessed-foods-linked-with-early-death-according-to-30-years-of-research-cnn/")</f>
        <v>https://pressnewsagency.org/ultraprocessed-foods-linked-with-early-death-according-to-30-years-of-research-cnn/</v>
      </c>
      <c r="C1504" s="2" t="s">
        <v>394</v>
      </c>
      <c r="D1504" s="3">
        <v>45420.811400462961</v>
      </c>
      <c r="E1504" s="2" t="s">
        <v>395</v>
      </c>
    </row>
    <row r="1505" spans="1:5" ht="98" x14ac:dyDescent="0.2">
      <c r="A1505" s="2" t="s">
        <v>644</v>
      </c>
      <c r="B1505" s="2" t="str">
        <f>HYPERLINK("https://newsbeezer.com/according-to-30-years-of-research-highly-processed-foods-are-linked-to-early-death/")</f>
        <v>https://newsbeezer.com/according-to-30-years-of-research-highly-processed-foods-are-linked-to-early-death/</v>
      </c>
      <c r="C1505" s="2" t="s">
        <v>629</v>
      </c>
      <c r="D1505" s="3">
        <v>45420.813020833331</v>
      </c>
      <c r="E1505" s="2" t="s">
        <v>645</v>
      </c>
    </row>
    <row r="1506" spans="1:5" ht="98" x14ac:dyDescent="0.2">
      <c r="A1506" s="2" t="s">
        <v>10</v>
      </c>
      <c r="B1506" s="2" t="str">
        <f>HYPERLINK("https://newsnetdaily.com/ultra-processed-foods-linked-to-early-death-according-to-30-years-of-research/")</f>
        <v>https://newsnetdaily.com/ultra-processed-foods-linked-to-early-death-according-to-30-years-of-research/</v>
      </c>
      <c r="C1506" s="2" t="s">
        <v>6</v>
      </c>
      <c r="D1506" s="3">
        <v>45420.830462962957</v>
      </c>
      <c r="E1506" s="2" t="s">
        <v>11</v>
      </c>
    </row>
    <row r="1507" spans="1:5" ht="84" x14ac:dyDescent="0.2">
      <c r="A1507" s="2" t="s">
        <v>3868</v>
      </c>
      <c r="B1507" s="2" t="str">
        <f>HYPERLINK("https://yplay.cz/ultra-zpracovane-potraviny-jsou-podle-30leteho-vyzkumu-spojeny-s-predcasnou-smrti/")</f>
        <v>https://yplay.cz/ultra-zpracovane-potraviny-jsou-podle-30leteho-vyzkumu-spojeny-s-predcasnou-smrti/</v>
      </c>
      <c r="C1507" s="2" t="s">
        <v>3869</v>
      </c>
      <c r="D1507" s="3">
        <v>45420.83965277778</v>
      </c>
      <c r="E1507" s="2" t="s">
        <v>3870</v>
      </c>
    </row>
    <row r="1508" spans="1:5" ht="70" x14ac:dyDescent="0.2">
      <c r="A1508" s="2" t="s">
        <v>101</v>
      </c>
      <c r="B1508" s="2" t="str">
        <f>HYPERLINK("https://sg.style.yahoo.com/ultraprocessed-foods-linked-early-death-223002085.html")</f>
        <v>https://sg.style.yahoo.com/ultraprocessed-foods-linked-early-death-223002085.html</v>
      </c>
      <c r="C1508" s="2" t="s">
        <v>2708</v>
      </c>
      <c r="D1508" s="3">
        <v>45420.839768518519</v>
      </c>
      <c r="E1508" s="2" t="s">
        <v>493</v>
      </c>
    </row>
    <row r="1509" spans="1:5" ht="70" x14ac:dyDescent="0.2">
      <c r="A1509" s="2" t="s">
        <v>101</v>
      </c>
      <c r="B1509" s="2" t="str">
        <f>HYPERLINK("https://currently.att.yahoo.com/att/cm/ultraprocessed-foods-linked-early-death-223002085.html")</f>
        <v>https://currently.att.yahoo.com/att/cm/ultraprocessed-foods-linked-early-death-223002085.html</v>
      </c>
      <c r="C1509" s="2" t="s">
        <v>3420</v>
      </c>
      <c r="D1509" s="3">
        <v>45420.839768518519</v>
      </c>
      <c r="E1509" s="2" t="s">
        <v>493</v>
      </c>
    </row>
    <row r="1510" spans="1:5" ht="98" x14ac:dyDescent="0.2">
      <c r="A1510" s="2" t="s">
        <v>101</v>
      </c>
      <c r="B1510" s="2" t="str">
        <f>HYPERLINK("https://www.applevalleynewsnow.com/news/health/here-are-the-ultraprocessed-foods-you-most-need-to-avoid-according-to-a-30-year/article_4fa12f7a-386a-5c69-a602-a34082562322.html")</f>
        <v>https://www.applevalleynewsnow.com/news/health/here-are-the-ultraprocessed-foods-you-most-need-to-avoid-according-to-a-30-year/article_4fa12f7a-386a-5c69-a602-a34082562322.html</v>
      </c>
      <c r="C1510" s="2" t="s">
        <v>1690</v>
      </c>
      <c r="D1510" s="3">
        <v>45420.841990740737</v>
      </c>
      <c r="E1510" s="2" t="s">
        <v>102</v>
      </c>
    </row>
    <row r="1511" spans="1:5" ht="98" x14ac:dyDescent="0.2">
      <c r="A1511" s="2" t="s">
        <v>1450</v>
      </c>
      <c r="B1511" s="2" t="str">
        <f>HYPERLINK("https://www.wkow.com/news/health/ultraprocessed-foods-linked-with-early-death-according-to-30-years-of-research/article_b90dd1f2-1da9-5ef4-90eb-c39e43422821.html")</f>
        <v>https://www.wkow.com/news/health/ultraprocessed-foods-linked-with-early-death-according-to-30-years-of-research/article_b90dd1f2-1da9-5ef4-90eb-c39e43422821.html</v>
      </c>
      <c r="C1511" s="2" t="s">
        <v>2658</v>
      </c>
      <c r="D1511" s="3">
        <v>45420.842430555553</v>
      </c>
      <c r="E1511" s="2" t="s">
        <v>1070</v>
      </c>
    </row>
    <row r="1512" spans="1:5" ht="84" x14ac:dyDescent="0.2">
      <c r="A1512" s="2" t="s">
        <v>4092</v>
      </c>
      <c r="B1512" s="2" t="str">
        <f>HYPERLINK("https://www.lonradio.nl/dit-zijn-de-ultrabewerkte-voedingsmiddelen-die-je-moet-vermijden-blijkt-uit-een-30-jaar-durend-onderzoek/")</f>
        <v>https://www.lonradio.nl/dit-zijn-de-ultrabewerkte-voedingsmiddelen-die-je-moet-vermijden-blijkt-uit-een-30-jaar-durend-onderzoek/</v>
      </c>
      <c r="C1512" s="2" t="s">
        <v>4093</v>
      </c>
      <c r="D1512" s="3">
        <v>45420.847754629627</v>
      </c>
      <c r="E1512" s="2" t="s">
        <v>4094</v>
      </c>
    </row>
    <row r="1513" spans="1:5" ht="98" x14ac:dyDescent="0.2">
      <c r="A1513" s="2" t="s">
        <v>101</v>
      </c>
      <c r="B1513" s="2" t="str">
        <f>HYPERLINK("https://www.koamnewsnow.com/news/health/here-are-the-ultraprocessed-foods-you-most-need-to-avoid-according-to-a-30-year/article_a5a62fec-aac6-5e67-a0eb-b99c3de4676a.html")</f>
        <v>https://www.koamnewsnow.com/news/health/here-are-the-ultraprocessed-foods-you-most-need-to-avoid-according-to-a-30-year/article_a5a62fec-aac6-5e67-a0eb-b99c3de4676a.html</v>
      </c>
      <c r="C1513" s="2" t="s">
        <v>2024</v>
      </c>
      <c r="D1513" s="3">
        <v>45420.850046296298</v>
      </c>
      <c r="E1513" s="2" t="s">
        <v>102</v>
      </c>
    </row>
    <row r="1514" spans="1:5" ht="84" x14ac:dyDescent="0.2">
      <c r="A1514" s="2" t="s">
        <v>4167</v>
      </c>
      <c r="B1514" s="2" t="str">
        <f>HYPERLINK("https://www.tisen.tv/zde-jsou-ultra-zpracovane-potraviny-kterym-byste-se-podle-30lete-studie-meli-vyhnout/")</f>
        <v>https://www.tisen.tv/zde-jsou-ultra-zpracovane-potraviny-kterym-byste-se-podle-30lete-studie-meli-vyhnout/</v>
      </c>
      <c r="C1514" s="2" t="s">
        <v>4168</v>
      </c>
      <c r="D1514" s="3">
        <v>45420.854502314818</v>
      </c>
      <c r="E1514" s="2" t="s">
        <v>3870</v>
      </c>
    </row>
    <row r="1515" spans="1:5" ht="98" x14ac:dyDescent="0.2">
      <c r="A1515" s="2" t="s">
        <v>1038</v>
      </c>
      <c r="B1515" s="2" t="str">
        <f>HYPERLINK("https://exbulletin.com/world/health/2691438/")</f>
        <v>https://exbulletin.com/world/health/2691438/</v>
      </c>
      <c r="C1515" s="2" t="s">
        <v>1034</v>
      </c>
      <c r="D1515" s="3">
        <v>45420.854988425926</v>
      </c>
      <c r="E1515" s="2" t="s">
        <v>1039</v>
      </c>
    </row>
    <row r="1516" spans="1:5" ht="98" x14ac:dyDescent="0.2">
      <c r="A1516" s="2" t="s">
        <v>101</v>
      </c>
      <c r="B1516" s="2" t="str">
        <f>HYPERLINK("https://www.crossroadstoday.com/news/health/here-are-the-ultraprocessed-foods-you-most-need-to-avoid-according-to-a-30-year/article_2876a4a9-972d-5fe1-a5d3-62b2594dad17.html")</f>
        <v>https://www.crossroadstoday.com/news/health/here-are-the-ultraprocessed-foods-you-most-need-to-avoid-according-to-a-30-year/article_2876a4a9-972d-5fe1-a5d3-62b2594dad17.html</v>
      </c>
      <c r="C1516" s="2" t="s">
        <v>1821</v>
      </c>
      <c r="D1516" s="3">
        <v>45420.855162037027</v>
      </c>
      <c r="E1516" s="2" t="s">
        <v>102</v>
      </c>
    </row>
    <row r="1517" spans="1:5" ht="126" x14ac:dyDescent="0.2">
      <c r="A1517" s="2" t="s">
        <v>304</v>
      </c>
      <c r="B1517" s="2" t="str">
        <f>HYPERLINK("https://www.hantsjournal.ca/according-to-30-years-of-research-ultraprocessed-foods-are-associated-with-early-death/")</f>
        <v>https://www.hantsjournal.ca/according-to-30-years-of-research-ultraprocessed-foods-are-associated-with-early-death/</v>
      </c>
      <c r="C1517" s="2" t="s">
        <v>305</v>
      </c>
      <c r="D1517" s="3">
        <v>45420.857094907413</v>
      </c>
      <c r="E1517" s="2" t="s">
        <v>306</v>
      </c>
    </row>
    <row r="1518" spans="1:5" ht="98" x14ac:dyDescent="0.2">
      <c r="A1518" s="2" t="s">
        <v>101</v>
      </c>
      <c r="B1518" s="2" t="str">
        <f>HYPERLINK("https://www.wsiltv.com/news/health/here-are-the-ultraprocessed-foods-you-most-need-to-avoid-according-to-a-30-year/article_a0a7db89-54f6-5090-bb7a-6f87368176ff.html")</f>
        <v>https://www.wsiltv.com/news/health/here-are-the-ultraprocessed-foods-you-most-need-to-avoid-according-to-a-30-year/article_a0a7db89-54f6-5090-bb7a-6f87368176ff.html</v>
      </c>
      <c r="C1518" s="2" t="s">
        <v>2232</v>
      </c>
      <c r="D1518" s="3">
        <v>45420.858391203707</v>
      </c>
      <c r="E1518" s="2" t="s">
        <v>102</v>
      </c>
    </row>
    <row r="1519" spans="1:5" ht="98" x14ac:dyDescent="0.2">
      <c r="A1519" s="2" t="s">
        <v>101</v>
      </c>
      <c r="B1519" s="2" t="str">
        <f>HYPERLINK("https://www.wevv.com/news/health/here-are-the-ultraprocessed-foods-you-most-need-to-avoid-according-to-a-30-year/article_2ac0d43e-c632-56e7-be04-3d2357df9d4d.html")</f>
        <v>https://www.wevv.com/news/health/here-are-the-ultraprocessed-foods-you-most-need-to-avoid-according-to-a-30-year/article_2ac0d43e-c632-56e7-be04-3d2357df9d4d.html</v>
      </c>
      <c r="C1519" s="2" t="s">
        <v>1926</v>
      </c>
      <c r="D1519" s="3">
        <v>45420.867048611108</v>
      </c>
      <c r="E1519" s="2" t="s">
        <v>102</v>
      </c>
    </row>
    <row r="1520" spans="1:5" ht="70" x14ac:dyDescent="0.2">
      <c r="A1520" s="2" t="s">
        <v>101</v>
      </c>
      <c r="B1520" s="2" t="str">
        <f>HYPERLINK("https://www.yahoo.com/lifestyle/ultraprocessed-foods-linked-early-death-223002085.html")</f>
        <v>https://www.yahoo.com/lifestyle/ultraprocessed-foods-linked-early-death-223002085.html</v>
      </c>
      <c r="C1520" s="2" t="s">
        <v>3726</v>
      </c>
      <c r="D1520" s="3">
        <v>45420.87599537037</v>
      </c>
      <c r="E1520" s="2" t="s">
        <v>493</v>
      </c>
    </row>
    <row r="1521" spans="1:5" ht="84" x14ac:dyDescent="0.2">
      <c r="A1521" s="2" t="s">
        <v>3871</v>
      </c>
      <c r="B1521" s="2" t="str">
        <f>HYPERLINK("https://www.concaternanaoggi.it/ecco-gli-alimenti-ultra-processati-che-dovresti-evitare-secondo-uno-studio-durato-30-anni/")</f>
        <v>https://www.concaternanaoggi.it/ecco-gli-alimenti-ultra-processati-che-dovresti-evitare-secondo-uno-studio-durato-30-anni/</v>
      </c>
      <c r="C1521" s="2" t="s">
        <v>3872</v>
      </c>
      <c r="D1521" s="3">
        <v>45420.878865740742</v>
      </c>
      <c r="E1521" s="2" t="s">
        <v>3873</v>
      </c>
    </row>
    <row r="1522" spans="1:5" ht="98" x14ac:dyDescent="0.2">
      <c r="A1522" s="2" t="s">
        <v>101</v>
      </c>
      <c r="B1522" s="2" t="str">
        <f>HYPERLINK("https://www.cp24.com/lifestyle/here-are-the-ultraprocessed-foods-you-most-need-to-avoid-according-to-a-30-year-study-1.6879566")</f>
        <v>https://www.cp24.com/lifestyle/here-are-the-ultraprocessed-foods-you-most-need-to-avoid-according-to-a-30-year-study-1.6879566</v>
      </c>
      <c r="C1522" s="2" t="s">
        <v>3251</v>
      </c>
      <c r="D1522" s="3">
        <v>45420.896550925929</v>
      </c>
      <c r="E1522" s="2" t="s">
        <v>722</v>
      </c>
    </row>
    <row r="1523" spans="1:5" ht="56" x14ac:dyDescent="0.2">
      <c r="A1523" s="2" t="s">
        <v>433</v>
      </c>
      <c r="B1523" s="2" t="str">
        <f>HYPERLINK("https://www.nach-welt.com/hier-sind-die-hochverarbeiteten-lebensmittel-die-sie-laut-einer-30-jahrigen-studie-am-meisten-meiden-sollten/")</f>
        <v>https://www.nach-welt.com/hier-sind-die-hochverarbeiteten-lebensmittel-die-sie-laut-einer-30-jahrigen-studie-am-meisten-meiden-sollten/</v>
      </c>
      <c r="C1523" s="2" t="s">
        <v>431</v>
      </c>
      <c r="D1523" s="3">
        <v>45420.913668981477</v>
      </c>
      <c r="E1523" s="2" t="s">
        <v>434</v>
      </c>
    </row>
    <row r="1524" spans="1:5" ht="84" x14ac:dyDescent="0.2">
      <c r="A1524" s="2" t="s">
        <v>3898</v>
      </c>
      <c r="B1524" s="2" t="str">
        <f>HYPERLINK("https://furora.tv/oto-produkty-ultraprzetworzone-ktorych-nalezy-unikac-wedlug-30-letnich-badan/")</f>
        <v>https://furora.tv/oto-produkty-ultraprzetworzone-ktorych-nalezy-unikac-wedlug-30-letnich-badan/</v>
      </c>
      <c r="C1524" s="2" t="s">
        <v>3899</v>
      </c>
      <c r="D1524" s="3">
        <v>45420.916168981479</v>
      </c>
      <c r="E1524" s="2" t="s">
        <v>3900</v>
      </c>
    </row>
    <row r="1525" spans="1:5" ht="126" x14ac:dyDescent="0.2">
      <c r="A1525" s="2" t="s">
        <v>3952</v>
      </c>
      <c r="B1525" s="2" t="str">
        <f>HYPERLINK("https://cikycaky.sk/tu-su-ultraspracovane-potraviny-ktorym-by-ste-sa-mali-podla-30-rocnej-studie-najviac-vyhybat/")</f>
        <v>https://cikycaky.sk/tu-su-ultraspracovane-potraviny-ktorym-by-ste-sa-mali-podla-30-rocnej-studie-najviac-vyhybat/</v>
      </c>
      <c r="C1525" s="2" t="s">
        <v>3953</v>
      </c>
      <c r="D1525" s="3">
        <v>45420.927986111114</v>
      </c>
      <c r="E1525" s="2" t="s">
        <v>3954</v>
      </c>
    </row>
    <row r="1526" spans="1:5" ht="84" x14ac:dyDescent="0.2">
      <c r="A1526" s="2" t="s">
        <v>3347</v>
      </c>
      <c r="B1526" s="2" t="str">
        <f>HYPERLINK("https://www.9news.com.au/world/here-are-the-ultraprocessed-foods-you-most-need-to-avoid-according-to-a-30year-study/cf3525cf-97e5-464c-8120-bc900989f4c0")</f>
        <v>https://www.9news.com.au/world/here-are-the-ultraprocessed-foods-you-most-need-to-avoid-according-to-a-30year-study/cf3525cf-97e5-464c-8120-bc900989f4c0</v>
      </c>
      <c r="C1526" s="2" t="s">
        <v>3346</v>
      </c>
      <c r="D1526" s="3">
        <v>45420.963854166657</v>
      </c>
      <c r="E1526" s="2" t="s">
        <v>2651</v>
      </c>
    </row>
    <row r="1527" spans="1:5" ht="98" x14ac:dyDescent="0.2">
      <c r="A1527" s="2" t="s">
        <v>4030</v>
      </c>
      <c r="B1527" s="2" t="str">
        <f>HYPERLINK("https://newsfounded.com/here-are-the-ultraprocessed-foods-you-need-to-avoid-according-to-a-30-year-study/")</f>
        <v>https://newsfounded.com/here-are-the-ultraprocessed-foods-you-need-to-avoid-according-to-a-30-year-study/</v>
      </c>
      <c r="C1527" s="2" t="s">
        <v>3771</v>
      </c>
      <c r="D1527" s="3">
        <v>45420.970266203702</v>
      </c>
      <c r="E1527" s="2" t="s">
        <v>4031</v>
      </c>
    </row>
    <row r="1528" spans="1:5" ht="126" x14ac:dyDescent="0.2">
      <c r="A1528" s="2" t="s">
        <v>101</v>
      </c>
      <c r="B1528" s="2" t="str">
        <f>HYPERLINK("https://goodwordnews.com/here-are-the-ultraprocessed-foods-you-most-need-to-avoid-according-to-a-30-year-study/")</f>
        <v>https://goodwordnews.com/here-are-the-ultraprocessed-foods-you-most-need-to-avoid-according-to-a-30-year-study/</v>
      </c>
      <c r="C1528" s="2" t="s">
        <v>472</v>
      </c>
      <c r="D1528" s="3">
        <v>45420.974386574067</v>
      </c>
      <c r="E1528" s="2" t="s">
        <v>473</v>
      </c>
    </row>
    <row r="1529" spans="1:5" ht="84" x14ac:dyDescent="0.2">
      <c r="A1529" s="2" t="s">
        <v>101</v>
      </c>
      <c r="B1529" s="2" t="str">
        <f>HYPERLINK("https://headtopics.com/au/here-are-the-ultraprocessed-foods-you-most-need-to-avoid-52239127")</f>
        <v>https://headtopics.com/au/here-are-the-ultraprocessed-foods-you-most-need-to-avoid-52239127</v>
      </c>
      <c r="C1529" s="2" t="s">
        <v>2534</v>
      </c>
      <c r="D1529" s="3">
        <v>45420.98333333333</v>
      </c>
      <c r="E1529" s="2" t="s">
        <v>2651</v>
      </c>
    </row>
    <row r="1530" spans="1:5" ht="98" x14ac:dyDescent="0.2">
      <c r="A1530" s="2" t="s">
        <v>101</v>
      </c>
      <c r="B1530" s="2" t="str">
        <f>HYPERLINK("https://newszetu.com/here-are-the-ultraprocessed-foods-you-most-need-to-avoid-according-to-a-30-year-study/")</f>
        <v>https://newszetu.com/here-are-the-ultraprocessed-foods-you-most-need-to-avoid-according-to-a-30-year-study/</v>
      </c>
      <c r="C1530" s="2" t="s">
        <v>373</v>
      </c>
      <c r="D1530" s="3">
        <v>45421</v>
      </c>
      <c r="E1530" s="2" t="s">
        <v>102</v>
      </c>
    </row>
    <row r="1531" spans="1:5" ht="98" x14ac:dyDescent="0.2">
      <c r="A1531" s="2" t="s">
        <v>3753</v>
      </c>
      <c r="B1531" s="2" t="str">
        <f>HYPERLINK("https://www.ygeiawatch.com.cy/news/eidhseis/sxesh-yperepexergasmenwn-trofimwn-me-prwimo-kindyno-oanatoy")</f>
        <v>https://www.ygeiawatch.com.cy/news/eidhseis/sxesh-yperepexergasmenwn-trofimwn-me-prwimo-kindyno-oanatoy</v>
      </c>
      <c r="C1531" s="2" t="s">
        <v>3754</v>
      </c>
      <c r="D1531" s="3">
        <v>45421</v>
      </c>
      <c r="E1531" s="2" t="s">
        <v>3755</v>
      </c>
    </row>
    <row r="1532" spans="1:5" ht="84" x14ac:dyDescent="0.2">
      <c r="A1532" s="2" t="s">
        <v>456</v>
      </c>
      <c r="B1532" s="2" t="str">
        <f>HYPERLINK("https://noticiero.lat/estos-son-los-alimentos-ultraprocesados-que-mas-debes-evitar-segun-un-estudio-de-30-anos-272751.html")</f>
        <v>https://noticiero.lat/estos-son-los-alimentos-ultraprocesados-que-mas-debes-evitar-segun-un-estudio-de-30-anos-272751.html</v>
      </c>
      <c r="C1532" s="2" t="s">
        <v>4023</v>
      </c>
      <c r="D1532" s="3">
        <v>45421</v>
      </c>
      <c r="E1532" s="2" t="s">
        <v>281</v>
      </c>
    </row>
    <row r="1533" spans="1:5" ht="70" x14ac:dyDescent="0.2">
      <c r="A1533" s="2" t="s">
        <v>101</v>
      </c>
      <c r="B1533" s="2" t="str">
        <f>HYPERLINK("https://www.abc-7.com/article/ultraprocessed-foods-avoid/60737867")</f>
        <v>https://www.abc-7.com/article/ultraprocessed-foods-avoid/60737867</v>
      </c>
      <c r="C1533" s="2" t="s">
        <v>1874</v>
      </c>
      <c r="D1533" s="3">
        <v>45421.001388888893</v>
      </c>
      <c r="E1533" s="2" t="s">
        <v>493</v>
      </c>
    </row>
    <row r="1534" spans="1:5" ht="70" x14ac:dyDescent="0.2">
      <c r="A1534" s="2" t="s">
        <v>101</v>
      </c>
      <c r="B1534" s="2" t="str">
        <f>HYPERLINK("https://www.wisn.com/article/ultraprocessed-foods-avoid/60737867")</f>
        <v>https://www.wisn.com/article/ultraprocessed-foods-avoid/60737867</v>
      </c>
      <c r="C1534" s="2" t="s">
        <v>2899</v>
      </c>
      <c r="D1534" s="3">
        <v>45421.002453703702</v>
      </c>
      <c r="E1534" s="2" t="s">
        <v>493</v>
      </c>
    </row>
    <row r="1535" spans="1:5" ht="70" x14ac:dyDescent="0.2">
      <c r="A1535" s="2" t="s">
        <v>101</v>
      </c>
      <c r="B1535" s="2" t="str">
        <f>HYPERLINK("https://www.wesh.com/article/ultraprocessed-foods-avoid/60737867")</f>
        <v>https://www.wesh.com/article/ultraprocessed-foods-avoid/60737867</v>
      </c>
      <c r="C1535" s="2" t="s">
        <v>3144</v>
      </c>
      <c r="D1535" s="3">
        <v>45421.003692129627</v>
      </c>
      <c r="E1535" s="2" t="s">
        <v>493</v>
      </c>
    </row>
    <row r="1536" spans="1:5" ht="70" x14ac:dyDescent="0.2">
      <c r="A1536" s="2" t="s">
        <v>101</v>
      </c>
      <c r="B1536" s="2" t="str">
        <f>HYPERLINK("https://www.koco.com/article/ultraprocessed-foods-avoid/60737867")</f>
        <v>https://www.koco.com/article/ultraprocessed-foods-avoid/60737867</v>
      </c>
      <c r="C1536" s="2" t="s">
        <v>2948</v>
      </c>
      <c r="D1536" s="3">
        <v>45421.003877314812</v>
      </c>
      <c r="E1536" s="2" t="s">
        <v>493</v>
      </c>
    </row>
    <row r="1537" spans="1:5" ht="70" x14ac:dyDescent="0.2">
      <c r="A1537" s="2" t="s">
        <v>101</v>
      </c>
      <c r="B1537" s="2" t="str">
        <f>HYPERLINK("https://www.wvtm13.com/article/ultraprocessed-foods-avoid/60737867")</f>
        <v>https://www.wvtm13.com/article/ultraprocessed-foods-avoid/60737867</v>
      </c>
      <c r="C1537" s="2" t="s">
        <v>2700</v>
      </c>
      <c r="D1537" s="3">
        <v>45421.004050925927</v>
      </c>
      <c r="E1537" s="2" t="s">
        <v>493</v>
      </c>
    </row>
    <row r="1538" spans="1:5" ht="70" x14ac:dyDescent="0.2">
      <c r="A1538" s="2" t="s">
        <v>101</v>
      </c>
      <c r="B1538" s="2" t="str">
        <f>HYPERLINK("https://www.kmbc.com/article/ultraprocessed-foods-avoid/60737867")</f>
        <v>https://www.kmbc.com/article/ultraprocessed-foods-avoid/60737867</v>
      </c>
      <c r="C1538" s="2" t="s">
        <v>2831</v>
      </c>
      <c r="D1538" s="3">
        <v>45421.004571759258</v>
      </c>
      <c r="E1538" s="2" t="s">
        <v>493</v>
      </c>
    </row>
    <row r="1539" spans="1:5" ht="70" x14ac:dyDescent="0.2">
      <c r="A1539" s="2" t="s">
        <v>101</v>
      </c>
      <c r="B1539" s="2" t="str">
        <f>HYPERLINK("https://www.wtae.com/article/ultraprocessed-foods-avoid/60737867")</f>
        <v>https://www.wtae.com/article/ultraprocessed-foods-avoid/60737867</v>
      </c>
      <c r="C1539" s="2" t="s">
        <v>2889</v>
      </c>
      <c r="D1539" s="3">
        <v>45421.004965277767</v>
      </c>
      <c r="E1539" s="2" t="s">
        <v>493</v>
      </c>
    </row>
    <row r="1540" spans="1:5" ht="84" x14ac:dyDescent="0.2">
      <c r="A1540" s="2" t="s">
        <v>101</v>
      </c>
      <c r="B1540" s="2" t="str">
        <f>HYPERLINK("https://www.koat.com/article/ultraprocessed-foods-avoid/60737867")</f>
        <v>https://www.koat.com/article/ultraprocessed-foods-avoid/60737867</v>
      </c>
      <c r="C1540" s="2" t="s">
        <v>2642</v>
      </c>
      <c r="D1540" s="3">
        <v>45421.00508101852</v>
      </c>
      <c r="E1540" s="2" t="s">
        <v>2643</v>
      </c>
    </row>
    <row r="1541" spans="1:5" ht="70" x14ac:dyDescent="0.2">
      <c r="A1541" s="2" t="s">
        <v>101</v>
      </c>
      <c r="B1541" s="2" t="str">
        <f>HYPERLINK("https://www.wgal.com/article/ultraprocessed-foods-avoid/60737867")</f>
        <v>https://www.wgal.com/article/ultraprocessed-foods-avoid/60737867</v>
      </c>
      <c r="C1541" s="2" t="s">
        <v>2911</v>
      </c>
      <c r="D1541" s="3">
        <v>45421.005115740743</v>
      </c>
      <c r="E1541" s="2" t="s">
        <v>493</v>
      </c>
    </row>
    <row r="1542" spans="1:5" ht="70" x14ac:dyDescent="0.2">
      <c r="A1542" s="2" t="s">
        <v>101</v>
      </c>
      <c r="B1542" s="2" t="str">
        <f>HYPERLINK("https://www.wyff4.com/article/ultraprocessed-foods-avoid/60737867")</f>
        <v>https://www.wyff4.com/article/ultraprocessed-foods-avoid/60737867</v>
      </c>
      <c r="C1542" s="2" t="s">
        <v>2966</v>
      </c>
      <c r="D1542" s="3">
        <v>45421.005196759259</v>
      </c>
      <c r="E1542" s="2" t="s">
        <v>493</v>
      </c>
    </row>
    <row r="1543" spans="1:5" ht="70" x14ac:dyDescent="0.2">
      <c r="A1543" s="2" t="s">
        <v>101</v>
      </c>
      <c r="B1543" s="2" t="str">
        <f>HYPERLINK("https://www.ksbw.com/article/ultraprocessed-foods-avoid/60737867")</f>
        <v>https://www.ksbw.com/article/ultraprocessed-foods-avoid/60737867</v>
      </c>
      <c r="C1543" s="2" t="s">
        <v>2673</v>
      </c>
      <c r="D1543" s="3">
        <v>45421.005208333343</v>
      </c>
      <c r="E1543" s="2" t="s">
        <v>493</v>
      </c>
    </row>
    <row r="1544" spans="1:5" ht="70" x14ac:dyDescent="0.2">
      <c r="A1544" s="2" t="s">
        <v>101</v>
      </c>
      <c r="B1544" s="2" t="str">
        <f>HYPERLINK("https://www.wxii12.com/article/ultraprocessed-foods-avoid/60737867")</f>
        <v>https://www.wxii12.com/article/ultraprocessed-foods-avoid/60737867</v>
      </c>
      <c r="C1544" s="2" t="s">
        <v>2842</v>
      </c>
      <c r="D1544" s="3">
        <v>45421.005370370367</v>
      </c>
      <c r="E1544" s="2" t="s">
        <v>493</v>
      </c>
    </row>
    <row r="1545" spans="1:5" ht="70" x14ac:dyDescent="0.2">
      <c r="A1545" s="2" t="s">
        <v>101</v>
      </c>
      <c r="B1545" s="2" t="str">
        <f>HYPERLINK("https://www.mynbc5.com/article/ultraprocessed-foods-avoid/60737867")</f>
        <v>https://www.mynbc5.com/article/ultraprocessed-foods-avoid/60737867</v>
      </c>
      <c r="C1545" s="2" t="s">
        <v>2723</v>
      </c>
      <c r="D1545" s="3">
        <v>45421.005381944437</v>
      </c>
      <c r="E1545" s="2" t="s">
        <v>493</v>
      </c>
    </row>
    <row r="1546" spans="1:5" ht="70" x14ac:dyDescent="0.2">
      <c r="A1546" s="2" t="s">
        <v>101</v>
      </c>
      <c r="B1546" s="2" t="str">
        <f>HYPERLINK("https://www.kcra.com/article/ultraprocessed-foods-avoid/60737867")</f>
        <v>https://www.kcra.com/article/ultraprocessed-foods-avoid/60737867</v>
      </c>
      <c r="C1546" s="2" t="s">
        <v>3112</v>
      </c>
      <c r="D1546" s="3">
        <v>45421.005462962959</v>
      </c>
      <c r="E1546" s="2" t="s">
        <v>493</v>
      </c>
    </row>
    <row r="1547" spans="1:5" ht="70" x14ac:dyDescent="0.2">
      <c r="A1547" s="2" t="s">
        <v>101</v>
      </c>
      <c r="B1547" s="2" t="str">
        <f>HYPERLINK("https://www.kcci.com/article/ultraprocessed-foods-avoid/60737867")</f>
        <v>https://www.kcci.com/article/ultraprocessed-foods-avoid/60737867</v>
      </c>
      <c r="C1547" s="2" t="s">
        <v>2926</v>
      </c>
      <c r="D1547" s="3">
        <v>45421.005613425928</v>
      </c>
      <c r="E1547" s="2" t="s">
        <v>493</v>
      </c>
    </row>
    <row r="1548" spans="1:5" ht="70" x14ac:dyDescent="0.2">
      <c r="A1548" s="2" t="s">
        <v>101</v>
      </c>
      <c r="B1548" s="2" t="str">
        <f>HYPERLINK("https://www.wcvb.com/article/ultraprocessed-foods-avoid/60737867")</f>
        <v>https://www.wcvb.com/article/ultraprocessed-foods-avoid/60737867</v>
      </c>
      <c r="C1548" s="2" t="s">
        <v>3146</v>
      </c>
      <c r="D1548" s="3">
        <v>45421.005833333344</v>
      </c>
      <c r="E1548" s="2" t="s">
        <v>493</v>
      </c>
    </row>
    <row r="1549" spans="1:5" ht="70" x14ac:dyDescent="0.2">
      <c r="A1549" s="2" t="s">
        <v>101</v>
      </c>
      <c r="B1549" s="2" t="str">
        <f>HYPERLINK("https://www.wmtw.com/article/ultraprocessed-foods-avoid/60737867")</f>
        <v>https://www.wmtw.com/article/ultraprocessed-foods-avoid/60737867</v>
      </c>
      <c r="C1549" s="2" t="s">
        <v>2720</v>
      </c>
      <c r="D1549" s="3">
        <v>45421.006041666667</v>
      </c>
      <c r="E1549" s="2" t="s">
        <v>493</v>
      </c>
    </row>
    <row r="1550" spans="1:5" ht="70" x14ac:dyDescent="0.2">
      <c r="A1550" s="2" t="s">
        <v>101</v>
      </c>
      <c r="B1550" s="2" t="str">
        <f>HYPERLINK("https://www.wdsu.com/article/ultraprocessed-foods-avoid/60737867")</f>
        <v>https://www.wdsu.com/article/ultraprocessed-foods-avoid/60737867</v>
      </c>
      <c r="C1550" s="2" t="s">
        <v>2853</v>
      </c>
      <c r="D1550" s="3">
        <v>45421.006307870368</v>
      </c>
      <c r="E1550" s="2" t="s">
        <v>493</v>
      </c>
    </row>
    <row r="1551" spans="1:5" ht="70" x14ac:dyDescent="0.2">
      <c r="A1551" s="2" t="s">
        <v>101</v>
      </c>
      <c r="B1551" s="2" t="str">
        <f>HYPERLINK("https://www.wlwt.com/article/ultraprocessed-foods-avoid/60737867")</f>
        <v>https://www.wlwt.com/article/ultraprocessed-foods-avoid/60737867</v>
      </c>
      <c r="C1551" s="2" t="s">
        <v>2944</v>
      </c>
      <c r="D1551" s="3">
        <v>45421.006631944438</v>
      </c>
      <c r="E1551" s="2" t="s">
        <v>493</v>
      </c>
    </row>
    <row r="1552" spans="1:5" ht="70" x14ac:dyDescent="0.2">
      <c r="A1552" s="2" t="s">
        <v>101</v>
      </c>
      <c r="B1552" s="2" t="str">
        <f>HYPERLINK("https://www.wbaltv.com/article/ultraprocessed-foods-avoid/60737867")</f>
        <v>https://www.wbaltv.com/article/ultraprocessed-foods-avoid/60737867</v>
      </c>
      <c r="C1552" s="2" t="s">
        <v>2931</v>
      </c>
      <c r="D1552" s="3">
        <v>45421.007060185177</v>
      </c>
      <c r="E1552" s="2" t="s">
        <v>493</v>
      </c>
    </row>
    <row r="1553" spans="1:5" ht="70" x14ac:dyDescent="0.2">
      <c r="A1553" s="2" t="s">
        <v>101</v>
      </c>
      <c r="B1553" s="2" t="str">
        <f>HYPERLINK("https://www.ketv.com/article/ultraprocessed-foods-avoid/60737867")</f>
        <v>https://www.ketv.com/article/ultraprocessed-foods-avoid/60737867</v>
      </c>
      <c r="C1553" s="2" t="s">
        <v>2830</v>
      </c>
      <c r="D1553" s="3">
        <v>45421.007210648153</v>
      </c>
      <c r="E1553" s="2" t="s">
        <v>493</v>
      </c>
    </row>
    <row r="1554" spans="1:5" ht="70" x14ac:dyDescent="0.2">
      <c r="A1554" s="2" t="s">
        <v>101</v>
      </c>
      <c r="B1554" s="2" t="str">
        <f>HYPERLINK("https://www.wapt.com/article/ultraprocessed-foods-avoid/60737867")</f>
        <v>https://www.wapt.com/article/ultraprocessed-foods-avoid/60737867</v>
      </c>
      <c r="C1554" s="2" t="s">
        <v>2418</v>
      </c>
      <c r="D1554" s="3">
        <v>45421.007303240738</v>
      </c>
      <c r="E1554" s="2" t="s">
        <v>493</v>
      </c>
    </row>
    <row r="1555" spans="1:5" ht="70" x14ac:dyDescent="0.2">
      <c r="A1555" s="2" t="s">
        <v>101</v>
      </c>
      <c r="B1555" s="2" t="str">
        <f>HYPERLINK("https://www.wmur.com/article/ultraprocessed-foods-avoid/60737867")</f>
        <v>https://www.wmur.com/article/ultraprocessed-foods-avoid/60737867</v>
      </c>
      <c r="C1555" s="2" t="s">
        <v>2907</v>
      </c>
      <c r="D1555" s="3">
        <v>45421.007430555554</v>
      </c>
      <c r="E1555" s="2" t="s">
        <v>493</v>
      </c>
    </row>
    <row r="1556" spans="1:5" ht="70" x14ac:dyDescent="0.2">
      <c r="A1556" s="2" t="s">
        <v>101</v>
      </c>
      <c r="B1556" s="2" t="str">
        <f>HYPERLINK("https://www.wlky.com/article/ultraprocessed-foods-avoid/60737867")</f>
        <v>https://www.wlky.com/article/ultraprocessed-foods-avoid/60737867</v>
      </c>
      <c r="C1556" s="2" t="s">
        <v>2730</v>
      </c>
      <c r="D1556" s="3">
        <v>45421.007974537039</v>
      </c>
      <c r="E1556" s="2" t="s">
        <v>493</v>
      </c>
    </row>
    <row r="1557" spans="1:5" ht="70" x14ac:dyDescent="0.2">
      <c r="A1557" s="2" t="s">
        <v>101</v>
      </c>
      <c r="B1557" s="2" t="str">
        <f>HYPERLINK("https://www.mor-tv.com/article/ultraprocessed-foods-avoid/60737867")</f>
        <v>https://www.mor-tv.com/article/ultraprocessed-foods-avoid/60737867</v>
      </c>
      <c r="C1557" s="2" t="s">
        <v>1351</v>
      </c>
      <c r="D1557" s="3">
        <v>45421.008645833332</v>
      </c>
      <c r="E1557" s="2" t="s">
        <v>493</v>
      </c>
    </row>
    <row r="1558" spans="1:5" ht="70" x14ac:dyDescent="0.2">
      <c r="A1558" s="2" t="s">
        <v>101</v>
      </c>
      <c r="B1558" s="2" t="str">
        <f>HYPERLINK("https://www.wjcl.com/article/ultraprocessed-foods-avoid/60737867")</f>
        <v>https://www.wjcl.com/article/ultraprocessed-foods-avoid/60737867</v>
      </c>
      <c r="C1558" s="2" t="s">
        <v>2732</v>
      </c>
      <c r="D1558" s="3">
        <v>45421.008796296293</v>
      </c>
      <c r="E1558" s="2" t="s">
        <v>493</v>
      </c>
    </row>
    <row r="1559" spans="1:5" ht="70" x14ac:dyDescent="0.2">
      <c r="A1559" s="2" t="s">
        <v>101</v>
      </c>
      <c r="B1559" s="2" t="str">
        <f>HYPERLINK("https://www.wpbf.com/article/ultraprocessed-foods-avoid/60737867")</f>
        <v>https://www.wpbf.com/article/ultraprocessed-foods-avoid/60737867</v>
      </c>
      <c r="C1559" s="2" t="s">
        <v>2665</v>
      </c>
      <c r="D1559" s="3">
        <v>45421.010243055563</v>
      </c>
      <c r="E1559" s="2" t="s">
        <v>493</v>
      </c>
    </row>
    <row r="1560" spans="1:5" ht="70" x14ac:dyDescent="0.2">
      <c r="A1560" s="2" t="s">
        <v>101</v>
      </c>
      <c r="B1560" s="2" t="str">
        <f>HYPERLINK("https://www.4029tv.com/article/ultraprocessed-foods-avoid/60737867")</f>
        <v>https://www.4029tv.com/article/ultraprocessed-foods-avoid/60737867</v>
      </c>
      <c r="C1560" s="2" t="s">
        <v>2347</v>
      </c>
      <c r="D1560" s="3">
        <v>45421.010925925933</v>
      </c>
      <c r="E1560" s="2" t="s">
        <v>493</v>
      </c>
    </row>
    <row r="1561" spans="1:5" ht="98" x14ac:dyDescent="0.2">
      <c r="A1561" s="2" t="s">
        <v>4030</v>
      </c>
      <c r="B1561" s="2" t="str">
        <f>HYPERLINK("https://newsfounded.com/here-are-the-ultraprocessed-foods-you-need-to-avoid-according-to-a-30-year-study-2/")</f>
        <v>https://newsfounded.com/here-are-the-ultraprocessed-foods-you-need-to-avoid-according-to-a-30-year-study-2/</v>
      </c>
      <c r="C1561" s="2" t="s">
        <v>3771</v>
      </c>
      <c r="D1561" s="3">
        <v>45421.05364583333</v>
      </c>
      <c r="E1561" s="2" t="s">
        <v>4031</v>
      </c>
    </row>
    <row r="1562" spans="1:5" ht="98" x14ac:dyDescent="0.2">
      <c r="A1562" s="2" t="s">
        <v>20</v>
      </c>
      <c r="B1562" s="2" t="str">
        <f>HYPERLINK("https://newsnetdaily.com/here-are-the-ultra-processed-foods-you-should-avoid-most-according-to-a-30-year-study/")</f>
        <v>https://newsnetdaily.com/here-are-the-ultra-processed-foods-you-should-avoid-most-according-to-a-30-year-study/</v>
      </c>
      <c r="C1562" s="2" t="s">
        <v>6</v>
      </c>
      <c r="D1562" s="3">
        <v>45421.062280092592</v>
      </c>
      <c r="E1562" s="2" t="s">
        <v>11</v>
      </c>
    </row>
    <row r="1563" spans="1:5" ht="126" x14ac:dyDescent="0.2">
      <c r="A1563" s="2" t="s">
        <v>418</v>
      </c>
      <c r="B1563" s="2" t="str">
        <f>HYPERLINK("https://pressnewsagency.org/here-are-the-ultraprocessed-foods-you-most-need-to-avoid-according-to-a-30-year-study-cnn/")</f>
        <v>https://pressnewsagency.org/here-are-the-ultraprocessed-foods-you-most-need-to-avoid-according-to-a-30-year-study-cnn/</v>
      </c>
      <c r="C1563" s="2" t="s">
        <v>394</v>
      </c>
      <c r="D1563" s="3">
        <v>45421.06722222222</v>
      </c>
      <c r="E1563" s="2" t="s">
        <v>395</v>
      </c>
    </row>
    <row r="1564" spans="1:5" ht="70" x14ac:dyDescent="0.2">
      <c r="A1564" s="2" t="s">
        <v>3767</v>
      </c>
      <c r="B1564" s="2" t="str">
        <f>HYPERLINK("https://senior24.si/studija-ni-vsa-ultraprocesirana-hrana-enako-skodljiva/")</f>
        <v>https://senior24.si/studija-ni-vsa-ultraprocesirana-hrana-enako-skodljiva/</v>
      </c>
      <c r="C1564" s="2" t="s">
        <v>3768</v>
      </c>
      <c r="D1564" s="3">
        <v>45421.088483796288</v>
      </c>
      <c r="E1564" s="2" t="s">
        <v>3769</v>
      </c>
    </row>
    <row r="1565" spans="1:5" ht="70" x14ac:dyDescent="0.2">
      <c r="A1565" s="2" t="s">
        <v>3767</v>
      </c>
      <c r="B1565" s="2" t="str">
        <f>HYPERLINK("https://biznis24.si/studija-ni-vsa-ultraprocesirana-hrana-enako-skodljiva/")</f>
        <v>https://biznis24.si/studija-ni-vsa-ultraprocesirana-hrana-enako-skodljiva/</v>
      </c>
      <c r="C1565" s="2" t="s">
        <v>4101</v>
      </c>
      <c r="D1565" s="3">
        <v>45421.088483796288</v>
      </c>
      <c r="E1565" s="2" t="s">
        <v>3769</v>
      </c>
    </row>
    <row r="1566" spans="1:5" ht="70" x14ac:dyDescent="0.2">
      <c r="A1566" s="2" t="s">
        <v>3767</v>
      </c>
      <c r="B1566" s="2" t="str">
        <f>HYPERLINK("https://princesa.si/studija-ni-vsa-ultraprocesirana-hrana-enako-skodljiva/")</f>
        <v>https://princesa.si/studija-ni-vsa-ultraprocesirana-hrana-enako-skodljiva/</v>
      </c>
      <c r="C1566" s="2" t="s">
        <v>4166</v>
      </c>
      <c r="D1566" s="3">
        <v>45421.088483796288</v>
      </c>
      <c r="E1566" s="2" t="s">
        <v>3769</v>
      </c>
    </row>
    <row r="1567" spans="1:5" ht="70" x14ac:dyDescent="0.2">
      <c r="A1567" s="2" t="s">
        <v>4188</v>
      </c>
      <c r="B1567" s="2" t="str">
        <f>HYPERLINK("https://portal24.si/studija-ni-vsa-ultraprocesirana-hrana-enako-skodljiva/")</f>
        <v>https://portal24.si/studija-ni-vsa-ultraprocesirana-hrana-enako-skodljiva/</v>
      </c>
      <c r="C1567" s="2" t="s">
        <v>4189</v>
      </c>
      <c r="D1567" s="3">
        <v>45421.088483796288</v>
      </c>
      <c r="E1567" s="2" t="s">
        <v>3769</v>
      </c>
    </row>
    <row r="1568" spans="1:5" ht="56" x14ac:dyDescent="0.2">
      <c r="A1568" s="2" t="s">
        <v>143</v>
      </c>
      <c r="B1568" s="2" t="str">
        <f>HYPERLINK("https://www.griffindailynews.com/can-yogurt-reduce-the-risk-of-type-2-diabetes/article_8e153b85-1d38-5973-a766-b82ad64e1676.html")</f>
        <v>https://www.griffindailynews.com/can-yogurt-reduce-the-risk-of-type-2-diabetes/article_8e153b85-1d38-5973-a766-b82ad64e1676.html</v>
      </c>
      <c r="C1568" s="2" t="s">
        <v>1139</v>
      </c>
      <c r="D1568" s="3">
        <v>45421.091296296298</v>
      </c>
      <c r="E1568" s="2" t="s">
        <v>70</v>
      </c>
    </row>
    <row r="1569" spans="1:5" ht="84" x14ac:dyDescent="0.2">
      <c r="A1569" s="2" t="s">
        <v>456</v>
      </c>
      <c r="B1569" s="2" t="str">
        <f>HYPERLINK("https://krdo.com/news/2024/05/09/estos-son-los-alimentos-ultraprocesados-que-mas-debes-evitar-segun-un-estudio-de-30-anos/")</f>
        <v>https://krdo.com/news/2024/05/09/estos-son-los-alimentos-ultraprocesados-que-mas-debes-evitar-segun-un-estudio-de-30-anos/</v>
      </c>
      <c r="C1569" s="2" t="s">
        <v>2558</v>
      </c>
      <c r="D1569" s="3">
        <v>45421.110023148147</v>
      </c>
      <c r="E1569" s="2" t="s">
        <v>281</v>
      </c>
    </row>
    <row r="1570" spans="1:5" ht="84" x14ac:dyDescent="0.2">
      <c r="A1570" s="2" t="s">
        <v>456</v>
      </c>
      <c r="B1570" s="2" t="str">
        <f>HYPERLINK("https://wtop.com/news/2024/05/estos-son-los-alimentos-ultraprocesados-que-mas-debes-evitar-segun-un-estudio-de-30-anos/")</f>
        <v>https://wtop.com/news/2024/05/estos-son-los-alimentos-ultraprocesados-que-mas-debes-evitar-segun-un-estudio-de-30-anos/</v>
      </c>
      <c r="C1570" s="2" t="s">
        <v>3076</v>
      </c>
      <c r="D1570" s="3">
        <v>45421.110023148147</v>
      </c>
      <c r="E1570" s="2" t="s">
        <v>281</v>
      </c>
    </row>
    <row r="1571" spans="1:5" ht="84" x14ac:dyDescent="0.2">
      <c r="A1571" s="2" t="s">
        <v>456</v>
      </c>
      <c r="B1571" s="2" t="str">
        <f>HYPERLINK("https://cnnespanol.cnn.com/2024/05/09/estos-alimentos-ultraprocesados-debes-evitar-segun-estudio-trax/")</f>
        <v>https://cnnespanol.cnn.com/2024/05/09/estos-alimentos-ultraprocesados-debes-evitar-segun-estudio-trax/</v>
      </c>
      <c r="C1571" s="2" t="s">
        <v>3509</v>
      </c>
      <c r="D1571" s="3">
        <v>45421.110023148147</v>
      </c>
      <c r="E1571" s="2" t="s">
        <v>281</v>
      </c>
    </row>
    <row r="1572" spans="1:5" ht="70" x14ac:dyDescent="0.2">
      <c r="A1572" s="2" t="s">
        <v>20</v>
      </c>
      <c r="B1572" s="2" t="str">
        <f>HYPERLINK("https://newsnetdaily.com/here-are-the-ultra-processed-foods-you-should-avoid-most-according-to-a-30-year-study-2/")</f>
        <v>https://newsnetdaily.com/here-are-the-ultra-processed-foods-you-should-avoid-most-according-to-a-30-year-study-2/</v>
      </c>
      <c r="C1572" s="2" t="s">
        <v>6</v>
      </c>
      <c r="D1572" s="3">
        <v>45421.118020833332</v>
      </c>
      <c r="E1572" s="2" t="s">
        <v>21</v>
      </c>
    </row>
    <row r="1573" spans="1:5" ht="84" x14ac:dyDescent="0.2">
      <c r="A1573" s="2" t="s">
        <v>456</v>
      </c>
      <c r="B1573" s="2" t="str">
        <f>HYPERLINK("https://kesq.com/kunamundo/noticias-cnn/cnn-spanish/2024/05/08/estos-son-los-alimentos-ultraprocesados-que-mas-debes-evitar-segun-un-estudio-de-30-anos/")</f>
        <v>https://kesq.com/kunamundo/noticias-cnn/cnn-spanish/2024/05/08/estos-son-los-alimentos-ultraprocesados-que-mas-debes-evitar-segun-un-estudio-de-30-anos/</v>
      </c>
      <c r="C1573" s="2" t="s">
        <v>2449</v>
      </c>
      <c r="D1573" s="3">
        <v>45421.119618055563</v>
      </c>
      <c r="E1573" s="2" t="s">
        <v>281</v>
      </c>
    </row>
    <row r="1574" spans="1:5" ht="84" x14ac:dyDescent="0.2">
      <c r="A1574" s="2" t="s">
        <v>456</v>
      </c>
      <c r="B1574" s="2" t="str">
        <f>HYPERLINK("http://keyt.com/latino/cnn-spanish/2024/05/08/estos-son-los-alimentos-ultraprocesados-que-mas-debes-evitar-segun-un-estudio-de-30-anos/")</f>
        <v>http://keyt.com/latino/cnn-spanish/2024/05/08/estos-son-los-alimentos-ultraprocesados-que-mas-debes-evitar-segun-un-estudio-de-30-anos/</v>
      </c>
      <c r="C1574" s="2" t="s">
        <v>2330</v>
      </c>
      <c r="D1574" s="3">
        <v>45421.12195601852</v>
      </c>
      <c r="E1574" s="2" t="s">
        <v>281</v>
      </c>
    </row>
    <row r="1575" spans="1:5" ht="84" x14ac:dyDescent="0.2">
      <c r="A1575" s="2" t="s">
        <v>456</v>
      </c>
      <c r="B1575" s="2" t="str">
        <f>HYPERLINK("https://ktvz.com/cnn-spanish/2024/05/08/estos-son-los-alimentos-ultraprocesados-que-mas-debes-evitar-segun-un-estudio-de-30-anos/")</f>
        <v>https://ktvz.com/cnn-spanish/2024/05/08/estos-son-los-alimentos-ultraprocesados-que-mas-debes-evitar-segun-un-estudio-de-30-anos/</v>
      </c>
      <c r="C1575" s="2" t="s">
        <v>2747</v>
      </c>
      <c r="D1575" s="3">
        <v>45421.123182870368</v>
      </c>
      <c r="E1575" s="2" t="s">
        <v>281</v>
      </c>
    </row>
    <row r="1576" spans="1:5" ht="84" x14ac:dyDescent="0.2">
      <c r="A1576" s="2" t="s">
        <v>456</v>
      </c>
      <c r="B1576" s="2" t="str">
        <f>HYPERLINK("https://www.crossroadstoday.com/news/espanol/noticias-locales/estos-son-los-alimentos-ultraprocesados-que-m-s-debes-evitar-seg-n-un-estudio-de/article_a63f33fe-1fdb-5d52-8e37-a9c241b791e3.html")</f>
        <v>https://www.crossroadstoday.com/news/espanol/noticias-locales/estos-son-los-alimentos-ultraprocesados-que-m-s-debes-evitar-seg-n-un-estudio-de/article_a63f33fe-1fdb-5d52-8e37-a9c241b791e3.html</v>
      </c>
      <c r="C1576" s="2" t="s">
        <v>1821</v>
      </c>
      <c r="D1576" s="3">
        <v>45421.123518518521</v>
      </c>
      <c r="E1576" s="2" t="s">
        <v>281</v>
      </c>
    </row>
    <row r="1577" spans="1:5" ht="84" x14ac:dyDescent="0.2">
      <c r="A1577" s="2" t="s">
        <v>456</v>
      </c>
      <c r="B1577" s="2" t="str">
        <f>HYPERLINK("https://abc17news.com/cnn-spanish/2024/05/09/estos-son-los-alimentos-ultraprocesados-que-mas-debes-evitar-segun-un-estudio-de-30-anos/")</f>
        <v>https://abc17news.com/cnn-spanish/2024/05/09/estos-son-los-alimentos-ultraprocesados-que-mas-debes-evitar-segun-un-estudio-de-30-anos/</v>
      </c>
      <c r="C1577" s="2" t="s">
        <v>2484</v>
      </c>
      <c r="D1577" s="3">
        <v>45421.134328703702</v>
      </c>
      <c r="E1577" s="2" t="s">
        <v>281</v>
      </c>
    </row>
    <row r="1578" spans="1:5" ht="84" x14ac:dyDescent="0.2">
      <c r="A1578" s="2" t="s">
        <v>456</v>
      </c>
      <c r="B1578" s="2" t="str">
        <f>HYPERLINK("https://www.wxow.com/news/spanish/estos-son-los-alimentos-ultraprocesados-que-m-s-debes-evitar-seg-n-un-estudio-de/article_957ec889-28cf-5153-af79-6ca7236fab4b.html")</f>
        <v>https://www.wxow.com/news/spanish/estos-son-los-alimentos-ultraprocesados-que-m-s-debes-evitar-seg-n-un-estudio-de/article_957ec889-28cf-5153-af79-6ca7236fab4b.html</v>
      </c>
      <c r="C1578" s="2" t="s">
        <v>2107</v>
      </c>
      <c r="D1578" s="3">
        <v>45421.138182870367</v>
      </c>
      <c r="E1578" s="2" t="s">
        <v>281</v>
      </c>
    </row>
    <row r="1579" spans="1:5" ht="98" x14ac:dyDescent="0.2">
      <c r="A1579" s="2" t="s">
        <v>724</v>
      </c>
      <c r="B1579" s="2" t="str">
        <f>HYPERLINK("https://canadanewsmedia.ca/ultra-processed-food-tied-to-higher-risk-of-early-death-study-finds-what-to-avoid-national-globalnews-ca-global-news/")</f>
        <v>https://canadanewsmedia.ca/ultra-processed-food-tied-to-higher-risk-of-early-death-study-finds-what-to-avoid-national-globalnews-ca-global-news/</v>
      </c>
      <c r="C1579" s="2" t="s">
        <v>721</v>
      </c>
      <c r="D1579" s="3">
        <v>45421.146874999999</v>
      </c>
      <c r="E1579" s="2" t="s">
        <v>722</v>
      </c>
    </row>
    <row r="1580" spans="1:5" ht="84" x14ac:dyDescent="0.2">
      <c r="A1580" s="2" t="s">
        <v>2227</v>
      </c>
      <c r="B1580" s="2" t="str">
        <f>HYPERLINK("https://localnews8.com/cnn-spanish/2024/05/09/estos-son-los-alimentos-ultraprocesados-que-mas-debes-evitar-segun-un-estudio-de-30-anos/")</f>
        <v>https://localnews8.com/cnn-spanish/2024/05/09/estos-son-los-alimentos-ultraprocesados-que-mas-debes-evitar-segun-un-estudio-de-30-anos/</v>
      </c>
      <c r="C1580" s="2" t="s">
        <v>2164</v>
      </c>
      <c r="D1580" s="3">
        <v>45421.151539351849</v>
      </c>
      <c r="E1580" s="2" t="s">
        <v>281</v>
      </c>
    </row>
    <row r="1581" spans="1:5" ht="84" x14ac:dyDescent="0.2">
      <c r="A1581" s="2" t="s">
        <v>456</v>
      </c>
      <c r="B1581" s="2" t="str">
        <f>HYPERLINK("https://jlanoticias.com/estos-son-los-alimentos-ultraprocesados-que-mas-debes-evitar-segun-un-estudio-de-30-anos/")</f>
        <v>https://jlanoticias.com/estos-son-los-alimentos-ultraprocesados-que-mas-debes-evitar-segun-un-estudio-de-30-anos/</v>
      </c>
      <c r="C1581" s="2" t="s">
        <v>454</v>
      </c>
      <c r="D1581" s="3">
        <v>45421.154594907413</v>
      </c>
      <c r="E1581" s="2" t="s">
        <v>281</v>
      </c>
    </row>
    <row r="1582" spans="1:5" ht="70" x14ac:dyDescent="0.2">
      <c r="A1582" s="2" t="s">
        <v>951</v>
      </c>
      <c r="B1582" s="2" t="str">
        <f>HYPERLINK("https://emeatribune.com/here-are-the-ultraprocessed-foods-you-most-need-to-avoid-according-to-a-30-year-study/")</f>
        <v>https://emeatribune.com/here-are-the-ultraprocessed-foods-you-most-need-to-avoid-according-to-a-30-year-study/</v>
      </c>
      <c r="C1582" s="2" t="s">
        <v>952</v>
      </c>
      <c r="D1582" s="3">
        <v>45421.170729166668</v>
      </c>
      <c r="E1582" s="2" t="s">
        <v>493</v>
      </c>
    </row>
    <row r="1583" spans="1:5" ht="84" x14ac:dyDescent="0.2">
      <c r="A1583" s="2" t="s">
        <v>456</v>
      </c>
      <c r="B1583" s="2" t="str">
        <f>HYPERLINK("https://www.kezi.com/news/spanish/estos-son-los-alimentos-ultraprocesados-que-m-s-debes-evitar-seg-n-un-estudio-de/article_5311094c-b5c3-51c9-a486-c6c12094a6ac.html")</f>
        <v>https://www.kezi.com/news/spanish/estos-son-los-alimentos-ultraprocesados-que-m-s-debes-evitar-seg-n-un-estudio-de/article_5311094c-b5c3-51c9-a486-c6c12094a6ac.html</v>
      </c>
      <c r="C1583" s="2" t="s">
        <v>2410</v>
      </c>
      <c r="D1583" s="3">
        <v>45421.194699074083</v>
      </c>
      <c r="E1583" s="2" t="s">
        <v>281</v>
      </c>
    </row>
    <row r="1584" spans="1:5" ht="84" x14ac:dyDescent="0.2">
      <c r="A1584" s="2" t="s">
        <v>3010</v>
      </c>
      <c r="B1584" s="2" t="str">
        <f>HYPERLINK("https://playtech.ro/2024/mancarea-procesata-pe-care-trebuie-sa-o-eviti-pentru-o-viata-lunga-conform-unui-studiu-de-30-de-ani-mezelurile-sunt-doar-inceputul-problemei/")</f>
        <v>https://playtech.ro/2024/mancarea-procesata-pe-care-trebuie-sa-o-eviti-pentru-o-viata-lunga-conform-unui-studiu-de-30-de-ani-mezelurile-sunt-doar-inceputul-problemei/</v>
      </c>
      <c r="C1584" s="2" t="s">
        <v>3011</v>
      </c>
      <c r="D1584" s="3">
        <v>45421.211400462962</v>
      </c>
      <c r="E1584" s="2" t="s">
        <v>3012</v>
      </c>
    </row>
    <row r="1585" spans="1:5" ht="84" x14ac:dyDescent="0.2">
      <c r="A1585" s="2" t="s">
        <v>1960</v>
      </c>
      <c r="B1585" s="2" t="str">
        <f>HYPERLINK("https://kion546.com/t23/noticias-cnn/cnn-spanish/2024/05/08/estos-son-los-alimentos-ultraprocesados-que-mas-debes-evitar-segun-un-estudio-de-30-anos/")</f>
        <v>https://kion546.com/t23/noticias-cnn/cnn-spanish/2024/05/08/estos-son-los-alimentos-ultraprocesados-que-mas-debes-evitar-segun-un-estudio-de-30-anos/</v>
      </c>
      <c r="C1585" s="2" t="s">
        <v>1953</v>
      </c>
      <c r="D1585" s="3">
        <v>45421.216284722221</v>
      </c>
      <c r="E1585" s="2" t="s">
        <v>281</v>
      </c>
    </row>
    <row r="1586" spans="1:5" ht="56" x14ac:dyDescent="0.2">
      <c r="A1586" s="2" t="s">
        <v>1075</v>
      </c>
      <c r="B1586" s="2" t="str">
        <f>HYPERLINK("https://newsexplorer.net/can-yogurt-really-reduce-the-risk-of-type-2-diabetes-producers-say-so-s2702519.html")</f>
        <v>https://newsexplorer.net/can-yogurt-really-reduce-the-risk-of-type-2-diabetes-producers-say-so-s2702519.html</v>
      </c>
      <c r="C1586" s="2" t="s">
        <v>1067</v>
      </c>
      <c r="D1586" s="3">
        <v>45421.232361111113</v>
      </c>
      <c r="E1586" s="2" t="s">
        <v>549</v>
      </c>
    </row>
    <row r="1587" spans="1:5" ht="42" x14ac:dyDescent="0.2">
      <c r="A1587" s="2" t="s">
        <v>1075</v>
      </c>
      <c r="B1587" s="2" t="str">
        <f>HYPERLINK("https://vnexplorer.net/can-yogurt-really-reduce-the-risk-of-type-2-diabetes-producers-say-so-s2702519.html")</f>
        <v>https://vnexplorer.net/can-yogurt-really-reduce-the-risk-of-type-2-diabetes-producers-say-so-s2702519.html</v>
      </c>
      <c r="C1587" s="2" t="s">
        <v>1334</v>
      </c>
      <c r="D1587" s="3">
        <v>45421.232361111113</v>
      </c>
      <c r="E1587" s="2" t="s">
        <v>549</v>
      </c>
    </row>
    <row r="1588" spans="1:5" ht="84" x14ac:dyDescent="0.2">
      <c r="A1588" s="2" t="s">
        <v>456</v>
      </c>
      <c r="B1588" s="2" t="str">
        <f>HYPERLINK("https://www.local3news.com/regional-national/en-espanol/estos-son-los-alimentos-ultraprocesados-que-m-s-debes-evitar-seg-n-un-estudio-de/article_5310f3f3-1ebe-54e0-a946-5f68e6f622d1.html")</f>
        <v>https://www.local3news.com/regional-national/en-espanol/estos-son-los-alimentos-ultraprocesados-que-m-s-debes-evitar-seg-n-un-estudio-de/article_5310f3f3-1ebe-54e0-a946-5f68e6f622d1.html</v>
      </c>
      <c r="C1588" s="2" t="s">
        <v>2582</v>
      </c>
      <c r="D1588" s="3">
        <v>45421.264189814807</v>
      </c>
      <c r="E1588" s="2" t="s">
        <v>281</v>
      </c>
    </row>
    <row r="1589" spans="1:5" ht="126" x14ac:dyDescent="0.2">
      <c r="A1589" s="2" t="s">
        <v>101</v>
      </c>
      <c r="B1589" s="2" t="str">
        <f>HYPERLINK("https://www.ctvnews.ca/health/here-are-the-ultraprocessed-foods-you-most-need-to-avoid-according-to-a-30-year-study-1.6879710")</f>
        <v>https://www.ctvnews.ca/health/here-are-the-ultraprocessed-foods-you-most-need-to-avoid-according-to-a-30-year-study-1.6879710</v>
      </c>
      <c r="C1589" s="2" t="s">
        <v>3442</v>
      </c>
      <c r="D1589" s="3">
        <v>45421.282546296286</v>
      </c>
      <c r="E1589" s="2" t="s">
        <v>3443</v>
      </c>
    </row>
    <row r="1590" spans="1:5" ht="98" x14ac:dyDescent="0.2">
      <c r="A1590" s="2" t="s">
        <v>420</v>
      </c>
      <c r="B1590" s="2" t="str">
        <f>HYPERLINK("https://seculartimes.com/which-processed-foods-are-worse-for-you/")</f>
        <v>https://seculartimes.com/which-processed-foods-are-worse-for-you/</v>
      </c>
      <c r="C1590" s="2" t="s">
        <v>419</v>
      </c>
      <c r="D1590" s="3">
        <v>45421.293993055559</v>
      </c>
      <c r="E1590" s="2" t="s">
        <v>421</v>
      </c>
    </row>
    <row r="1591" spans="1:5" ht="84" x14ac:dyDescent="0.2">
      <c r="A1591" s="2" t="s">
        <v>456</v>
      </c>
      <c r="B1591" s="2" t="str">
        <f>HYPERLINK("https://news.lee.net/partners/cnn/estos-son-los-alimentos-ultraprocesados-que-m-s-debes-evitar-seg-n-un-estudio-de/article_8a4a40f8-4faa-5e52-800c-1903077920b9.html")</f>
        <v>https://news.lee.net/partners/cnn/estos-son-los-alimentos-ultraprocesados-que-m-s-debes-evitar-seg-n-un-estudio-de/article_8a4a40f8-4faa-5e52-800c-1903077920b9.html</v>
      </c>
      <c r="C1591" s="2" t="s">
        <v>1651</v>
      </c>
      <c r="D1591" s="3">
        <v>45421.299513888887</v>
      </c>
      <c r="E1591" s="2" t="s">
        <v>281</v>
      </c>
    </row>
    <row r="1592" spans="1:5" ht="98" x14ac:dyDescent="0.2">
      <c r="A1592" s="2" t="s">
        <v>1450</v>
      </c>
      <c r="B1592" s="2" t="str">
        <f>HYPERLINK("https://news.lee.net/partners/cnn/ultraprocessed-foods-linked-with-early-death-according-to-30-years-of-research/article_180fab94-e772-5215-b22b-779cba68afdc.html")</f>
        <v>https://news.lee.net/partners/cnn/ultraprocessed-foods-linked-with-early-death-according-to-30-years-of-research/article_180fab94-e772-5215-b22b-779cba68afdc.html</v>
      </c>
      <c r="C1592" s="2" t="s">
        <v>1651</v>
      </c>
      <c r="D1592" s="3">
        <v>45421.299537037034</v>
      </c>
      <c r="E1592" s="2" t="s">
        <v>102</v>
      </c>
    </row>
    <row r="1593" spans="1:5" ht="126" x14ac:dyDescent="0.2">
      <c r="A1593" s="2" t="s">
        <v>101</v>
      </c>
      <c r="B1593" s="2" t="str">
        <f>HYPERLINK("https://beatlyzer.com/here-are-the-ultraprocessed-foods-you-most-need-to-avoid-according-to-a-30-year-study-906423.html")</f>
        <v>https://beatlyzer.com/here-are-the-ultraprocessed-foods-you-most-need-to-avoid-according-to-a-30-year-study-906423.html</v>
      </c>
      <c r="C1593" s="2" t="s">
        <v>84</v>
      </c>
      <c r="D1593" s="3">
        <v>45421.299976851849</v>
      </c>
      <c r="E1593" s="2" t="s">
        <v>165</v>
      </c>
    </row>
    <row r="1594" spans="1:5" ht="70" x14ac:dyDescent="0.2">
      <c r="A1594" s="2" t="s">
        <v>1097</v>
      </c>
      <c r="B1594" s="2" t="str">
        <f>HYPERLINK("https://thecanadian.news/these-are-the-ultra-processed-foods-you-should-avoid-the-most-according-to-a-30-year-study/")</f>
        <v>https://thecanadian.news/these-are-the-ultra-processed-foods-you-should-avoid-the-most-according-to-a-30-year-study/</v>
      </c>
      <c r="C1594" s="2" t="s">
        <v>1098</v>
      </c>
      <c r="D1594" s="3">
        <v>45421.309629629628</v>
      </c>
      <c r="E1594" s="2" t="s">
        <v>1099</v>
      </c>
    </row>
    <row r="1595" spans="1:5" ht="42" x14ac:dyDescent="0.2">
      <c r="A1595" s="2" t="s">
        <v>1075</v>
      </c>
      <c r="B1595" s="2" t="str">
        <f>HYPERLINK("https://www.independent.co.uk/news/health/yogurt-type-2-diabetes-cure-b2542217.html")</f>
        <v>https://www.independent.co.uk/news/health/yogurt-type-2-diabetes-cure-b2542217.html</v>
      </c>
      <c r="C1595" s="2" t="s">
        <v>3649</v>
      </c>
      <c r="D1595" s="3">
        <v>45421.334293981483</v>
      </c>
      <c r="E1595" s="2" t="s">
        <v>70</v>
      </c>
    </row>
    <row r="1596" spans="1:5" ht="306" x14ac:dyDescent="0.2">
      <c r="A1596" s="2" t="s">
        <v>1792</v>
      </c>
      <c r="B1596" s="2" t="str">
        <f>HYPERLINK("https://www.mathematica.org/events/improving-equitable-access-to-federal-nutrition-support-programs")</f>
        <v>https://www.mathematica.org/events/improving-equitable-access-to-federal-nutrition-support-programs</v>
      </c>
      <c r="C1596" s="2" t="s">
        <v>1793</v>
      </c>
      <c r="D1596" s="3">
        <v>45421.354641203703</v>
      </c>
      <c r="E1596" s="2" t="s">
        <v>1794</v>
      </c>
    </row>
    <row r="1597" spans="1:5" ht="98" x14ac:dyDescent="0.2">
      <c r="A1597" s="2" t="s">
        <v>1066</v>
      </c>
      <c r="B1597" s="2" t="str">
        <f>HYPERLINK("https://newsexplorer.net/study-the-ultra-processed-foods-most-likely-to-shorten-your-life-s2704980.html")</f>
        <v>https://newsexplorer.net/study-the-ultra-processed-foods-most-likely-to-shorten-your-life-s2704980.html</v>
      </c>
      <c r="C1597" s="2" t="s">
        <v>1067</v>
      </c>
      <c r="D1597" s="3">
        <v>45421.389282407406</v>
      </c>
      <c r="E1597" s="2" t="s">
        <v>1068</v>
      </c>
    </row>
    <row r="1598" spans="1:5" ht="98" x14ac:dyDescent="0.2">
      <c r="A1598" s="2" t="s">
        <v>1066</v>
      </c>
      <c r="B1598" s="2" t="str">
        <f>HYPERLINK("https://vnexplorer.net/study-the-ultra-processed-foods-most-likely-to-shorten-your-life-s2704980.html")</f>
        <v>https://vnexplorer.net/study-the-ultra-processed-foods-most-likely-to-shorten-your-life-s2704980.html</v>
      </c>
      <c r="C1598" s="2" t="s">
        <v>1334</v>
      </c>
      <c r="D1598" s="3">
        <v>45421.389282407406</v>
      </c>
      <c r="E1598" s="2" t="s">
        <v>1068</v>
      </c>
    </row>
    <row r="1599" spans="1:5" ht="70" x14ac:dyDescent="0.2">
      <c r="A1599" s="2" t="s">
        <v>101</v>
      </c>
      <c r="B1599" s="2" t="str">
        <f>HYPERLINK("https://krdo.com/news/2024/05/09/ultraprocessed-foods-linked-with-early-death-according-to-30-years-of-research/")</f>
        <v>https://krdo.com/news/2024/05/09/ultraprocessed-foods-linked-with-early-death-according-to-30-years-of-research/</v>
      </c>
      <c r="C1599" s="2" t="s">
        <v>2558</v>
      </c>
      <c r="D1599" s="3">
        <v>45421.39571759259</v>
      </c>
      <c r="E1599" s="2" t="s">
        <v>493</v>
      </c>
    </row>
    <row r="1600" spans="1:5" ht="98" x14ac:dyDescent="0.2">
      <c r="A1600" s="2" t="s">
        <v>101</v>
      </c>
      <c r="B1600" s="2" t="str">
        <f>HYPERLINK("https://malaysia.news.yahoo.com/ultraprocessed-foods-linked-early-death-223002085.html")</f>
        <v>https://malaysia.news.yahoo.com/ultraprocessed-foods-linked-early-death-223002085.html</v>
      </c>
      <c r="C1600" s="2" t="s">
        <v>2674</v>
      </c>
      <c r="D1600" s="3">
        <v>45421.39571759259</v>
      </c>
      <c r="E1600" s="2" t="s">
        <v>102</v>
      </c>
    </row>
    <row r="1601" spans="1:5" ht="70" x14ac:dyDescent="0.2">
      <c r="A1601" s="2" t="s">
        <v>101</v>
      </c>
      <c r="B1601" s="2" t="str">
        <f>HYPERLINK("https://ca.news.yahoo.com/lifestyle/ultraprocessed-foods-linked-early-death-223002085.html")</f>
        <v>https://ca.news.yahoo.com/lifestyle/ultraprocessed-foods-linked-early-death-223002085.html</v>
      </c>
      <c r="C1601" s="2" t="s">
        <v>3097</v>
      </c>
      <c r="D1601" s="3">
        <v>45421.39571759259</v>
      </c>
      <c r="E1601" s="2" t="s">
        <v>493</v>
      </c>
    </row>
    <row r="1602" spans="1:5" ht="98" x14ac:dyDescent="0.2">
      <c r="A1602" s="2" t="s">
        <v>143</v>
      </c>
      <c r="B1602" s="2" t="str">
        <f>HYPERLINK("https://usa.inquirer.net/149459/can-yogurt-reduce-the-risk-of-type-2-diabetes")</f>
        <v>https://usa.inquirer.net/149459/can-yogurt-reduce-the-risk-of-type-2-diabetes</v>
      </c>
      <c r="C1602" s="2" t="s">
        <v>2237</v>
      </c>
      <c r="D1602" s="3">
        <v>45421.40152777778</v>
      </c>
      <c r="E1602" s="2" t="s">
        <v>2238</v>
      </c>
    </row>
    <row r="1603" spans="1:5" ht="98" x14ac:dyDescent="0.2">
      <c r="A1603" s="2" t="s">
        <v>519</v>
      </c>
      <c r="B1603" s="2" t="str">
        <f>HYPERLINK("https://www.oribatejo.pt/aqui-estao-os-alimentos-ultraprocessados-que-voce-deve-evitar-de-acordo-com-um-estudo-de-30-anos/")</f>
        <v>https://www.oribatejo.pt/aqui-estao-os-alimentos-ultraprocessados-que-voce-deve-evitar-de-acordo-com-um-estudo-de-30-anos/</v>
      </c>
      <c r="C1603" s="2" t="s">
        <v>940</v>
      </c>
      <c r="D1603" s="3">
        <v>45421.410474537042</v>
      </c>
      <c r="E1603" s="2" t="s">
        <v>521</v>
      </c>
    </row>
    <row r="1604" spans="1:5" ht="126" x14ac:dyDescent="0.2">
      <c r="A1604" s="2" t="s">
        <v>3782</v>
      </c>
      <c r="B1604" s="2" t="str">
        <f>HYPERLINK("https://atibaiaconnection.com.br/aqui-estao-os-alimentos-ultraprocessados-que-voce-deve-evitar-de-acordo-com-30-anos-de-pesquisa/")</f>
        <v>https://atibaiaconnection.com.br/aqui-estao-os-alimentos-ultraprocessados-que-voce-deve-evitar-de-acordo-com-30-anos-de-pesquisa/</v>
      </c>
      <c r="C1604" s="2" t="s">
        <v>3783</v>
      </c>
      <c r="D1604" s="3">
        <v>45421.419247685182</v>
      </c>
      <c r="E1604" s="2" t="s">
        <v>3784</v>
      </c>
    </row>
    <row r="1605" spans="1:5" ht="98" x14ac:dyDescent="0.2">
      <c r="A1605" s="2" t="s">
        <v>519</v>
      </c>
      <c r="B1605" s="2" t="str">
        <f>HYPERLINK("https://www.bemmaisbrasilia.com/aqui-estao-os-alimentos-ultraprocessados-que-voce-deve-evitar-de-acordo-com-um-estudo-de-30-anos/")</f>
        <v>https://www.bemmaisbrasilia.com/aqui-estao-os-alimentos-ultraprocessados-que-voce-deve-evitar-de-acordo-com-um-estudo-de-30-anos/</v>
      </c>
      <c r="C1605" s="2" t="s">
        <v>520</v>
      </c>
      <c r="D1605" s="3">
        <v>45421.421331018522</v>
      </c>
      <c r="E1605" s="2" t="s">
        <v>521</v>
      </c>
    </row>
    <row r="1606" spans="1:5" ht="42" x14ac:dyDescent="0.2">
      <c r="A1606" s="2" t="s">
        <v>3865</v>
      </c>
      <c r="B1606" s="2" t="str">
        <f>HYPERLINK("https://n1info.ba/zdravlje/ovu-ultrapreradjenu-hranu-morate-izbjegavati/")</f>
        <v>https://n1info.ba/zdravlje/ovu-ultrapreradjenu-hranu-morate-izbjegavati/</v>
      </c>
      <c r="C1606" s="2" t="s">
        <v>3866</v>
      </c>
      <c r="D1606" s="3">
        <v>45421.432314814818</v>
      </c>
      <c r="E1606" s="2" t="s">
        <v>3867</v>
      </c>
    </row>
    <row r="1607" spans="1:5" ht="70" x14ac:dyDescent="0.2">
      <c r="A1607" s="2" t="s">
        <v>101</v>
      </c>
      <c r="B1607" s="2" t="str">
        <f>HYPERLINK("https://www.banoyi.com/here-are-the-ultraprocessed-foods-you-most-need-to-avoid-according-to-a-30-year-study-844933.html")</f>
        <v>https://www.banoyi.com/here-are-the-ultraprocessed-foods-you-most-need-to-avoid-according-to-a-30-year-study-844933.html</v>
      </c>
      <c r="C1607" s="2" t="s">
        <v>491</v>
      </c>
      <c r="D1607" s="3">
        <v>45421.436967592592</v>
      </c>
      <c r="E1607" s="2" t="s">
        <v>493</v>
      </c>
    </row>
    <row r="1608" spans="1:5" ht="98" x14ac:dyDescent="0.2">
      <c r="A1608" s="2" t="s">
        <v>101</v>
      </c>
      <c r="B1608" s="2" t="str">
        <f>HYPERLINK("https://www.kwwl.com/news/national/here-are-the-ultraprocessed-foods-you-most-need-to-avoid-according-to-a-30-year/article_39680020-afef-5b1b-a4c9-b3216cbb265f.html")</f>
        <v>https://www.kwwl.com/news/national/here-are-the-ultraprocessed-foods-you-most-need-to-avoid-according-to-a-30-year/article_39680020-afef-5b1b-a4c9-b3216cbb265f.html</v>
      </c>
      <c r="C1608" s="2" t="s">
        <v>2350</v>
      </c>
      <c r="D1608" s="3">
        <v>45421.437511574077</v>
      </c>
      <c r="E1608" s="2" t="s">
        <v>1070</v>
      </c>
    </row>
    <row r="1609" spans="1:5" ht="98" x14ac:dyDescent="0.2">
      <c r="A1609" s="2" t="s">
        <v>101</v>
      </c>
      <c r="B1609" s="2" t="str">
        <f>HYPERLINK("https://www.kimt.com/news/here-are-the-ultraprocessed-foods-you-most-need-to-avoid-according-to-a-30-year/article_ce160fca-59b3-5ed8-85b1-12c849a4a48a.html")</f>
        <v>https://www.kimt.com/news/here-are-the-ultraprocessed-foods-you-most-need-to-avoid-according-to-a-30-year/article_ce160fca-59b3-5ed8-85b1-12c849a4a48a.html</v>
      </c>
      <c r="C1609" s="2" t="s">
        <v>2285</v>
      </c>
      <c r="D1609" s="3">
        <v>45421.443298611113</v>
      </c>
      <c r="E1609" s="2" t="s">
        <v>102</v>
      </c>
    </row>
    <row r="1610" spans="1:5" ht="98" x14ac:dyDescent="0.2">
      <c r="A1610" s="2" t="s">
        <v>3782</v>
      </c>
      <c r="B1610" s="2" t="str">
        <f>HYPERLINK("https://newsspace.com.br/aqui-estao-os-alimentos-ultraprocessados-que-voce-deve-evitar-de-acordo-com-30-anos-de-pesquisa/")</f>
        <v>https://newsspace.com.br/aqui-estao-os-alimentos-ultraprocessados-que-voce-deve-evitar-de-acordo-com-30-anos-de-pesquisa/</v>
      </c>
      <c r="C1610" s="2" t="s">
        <v>4130</v>
      </c>
      <c r="D1610" s="3">
        <v>45421.450532407413</v>
      </c>
      <c r="E1610" s="2" t="s">
        <v>4131</v>
      </c>
    </row>
    <row r="1611" spans="1:5" ht="84" x14ac:dyDescent="0.2">
      <c r="A1611" s="2" t="s">
        <v>101</v>
      </c>
      <c r="B1611" s="2" t="str">
        <f>HYPERLINK("https://reportwire.org/here-are-the-ultraprocessed-foods-you-most-need-to-avoid-according-to-a-30-year-study/")</f>
        <v>https://reportwire.org/here-are-the-ultraprocessed-foods-you-most-need-to-avoid-according-to-a-30-year-study/</v>
      </c>
      <c r="C1611" s="2" t="s">
        <v>710</v>
      </c>
      <c r="D1611" s="3">
        <v>45421.456250000003</v>
      </c>
      <c r="E1611" s="2" t="s">
        <v>711</v>
      </c>
    </row>
    <row r="1612" spans="1:5" ht="98" x14ac:dyDescent="0.2">
      <c r="A1612" s="2" t="s">
        <v>101</v>
      </c>
      <c r="B1612" s="2" t="str">
        <f>HYPERLINK("https://www.phillytrib.com/news/health/here-are-the-ultraprocessed-foods-you-most-need-to-avoid-according-to-a-30-year/article_05721844-0b80-5a0b-93bd-a17ba8d99d0f.html")</f>
        <v>https://www.phillytrib.com/news/health/here-are-the-ultraprocessed-foods-you-most-need-to-avoid-according-to-a-30-year/article_05721844-0b80-5a0b-93bd-a17ba8d99d0f.html</v>
      </c>
      <c r="C1612" s="2" t="s">
        <v>2047</v>
      </c>
      <c r="D1612" s="3">
        <v>45421.465300925927</v>
      </c>
      <c r="E1612" s="2" t="s">
        <v>102</v>
      </c>
    </row>
    <row r="1613" spans="1:5" ht="84" x14ac:dyDescent="0.2">
      <c r="A1613" s="2" t="s">
        <v>456</v>
      </c>
      <c r="B1613" s="2" t="str">
        <f>HYPERLINK("https://newsexplorer.net/estos-son-los-alimentos-ultraprocesados-%E2%80%8B%E2%80%8Bque-mas-debes-evitar-segun-un-estudio-de-30-anos-s2706249.html")</f>
        <v>https://newsexplorer.net/estos-son-los-alimentos-ultraprocesados-%E2%80%8B%E2%80%8Bque-mas-debes-evitar-segun-un-estudio-de-30-anos-s2706249.html</v>
      </c>
      <c r="C1613" s="2" t="s">
        <v>1067</v>
      </c>
      <c r="D1613" s="3">
        <v>45421.47084490741</v>
      </c>
      <c r="E1613" s="2" t="s">
        <v>281</v>
      </c>
    </row>
    <row r="1614" spans="1:5" ht="84" x14ac:dyDescent="0.2">
      <c r="A1614" s="2" t="s">
        <v>456</v>
      </c>
      <c r="B1614" s="2" t="str">
        <f>HYPERLINK("https://vnexplorer.net/estos-son-los-alimentos-ultraprocesados-%E2%80%8B%E2%80%8Bque-mas-debes-evitar-segun-un-estudio-de-30-anos-s2706249.html")</f>
        <v>https://vnexplorer.net/estos-son-los-alimentos-ultraprocesados-%E2%80%8B%E2%80%8Bque-mas-debes-evitar-segun-un-estudio-de-30-anos-s2706249.html</v>
      </c>
      <c r="C1614" s="2" t="s">
        <v>1334</v>
      </c>
      <c r="D1614" s="3">
        <v>45421.47084490741</v>
      </c>
      <c r="E1614" s="2" t="s">
        <v>281</v>
      </c>
    </row>
    <row r="1615" spans="1:5" ht="98" x14ac:dyDescent="0.2">
      <c r="A1615" s="2" t="s">
        <v>101</v>
      </c>
      <c r="B1615" s="2" t="str">
        <f>HYPERLINK("https://www.wxow.com/here-are-the-ultraprocessed-foods-you-most-need-to-avoid-according-to-a-30-year/article_48b43260-811b-534b-9be7-e3808b0bcc30.html")</f>
        <v>https://www.wxow.com/here-are-the-ultraprocessed-foods-you-most-need-to-avoid-according-to-a-30-year/article_48b43260-811b-534b-9be7-e3808b0bcc30.html</v>
      </c>
      <c r="C1615" s="2" t="s">
        <v>2107</v>
      </c>
      <c r="D1615" s="3">
        <v>45421.484537037039</v>
      </c>
      <c r="E1615" s="2" t="s">
        <v>102</v>
      </c>
    </row>
    <row r="1616" spans="1:5" ht="98" x14ac:dyDescent="0.2">
      <c r="A1616" s="2" t="s">
        <v>101</v>
      </c>
      <c r="B1616" s="2" t="str">
        <f>HYPERLINK("https://www.redlandsdailyfacts.com/2024/05/09/here-are-the-ultraprocessed-foods-you-most-need-to-avoid-according-to-a-30-year-study/")</f>
        <v>https://www.redlandsdailyfacts.com/2024/05/09/here-are-the-ultraprocessed-foods-you-most-need-to-avoid-according-to-a-30-year-study/</v>
      </c>
      <c r="C1616" s="2" t="s">
        <v>1852</v>
      </c>
      <c r="D1616" s="3">
        <v>45421.492314814823</v>
      </c>
      <c r="E1616" s="2" t="s">
        <v>102</v>
      </c>
    </row>
    <row r="1617" spans="1:5" ht="98" x14ac:dyDescent="0.2">
      <c r="A1617" s="2" t="s">
        <v>101</v>
      </c>
      <c r="B1617" s="2" t="str">
        <f>HYPERLINK("https://www.whittierdailynews.com/2024/05/09/here-are-the-ultraprocessed-foods-you-most-need-to-avoid-according-to-a-30-year-study/")</f>
        <v>https://www.whittierdailynews.com/2024/05/09/here-are-the-ultraprocessed-foods-you-most-need-to-avoid-according-to-a-30-year-study/</v>
      </c>
      <c r="C1617" s="2" t="s">
        <v>1889</v>
      </c>
      <c r="D1617" s="3">
        <v>45421.492314814823</v>
      </c>
      <c r="E1617" s="2" t="s">
        <v>102</v>
      </c>
    </row>
    <row r="1618" spans="1:5" ht="98" x14ac:dyDescent="0.2">
      <c r="A1618" s="2" t="s">
        <v>101</v>
      </c>
      <c r="B1618" s="2" t="str">
        <f>HYPERLINK("https://www.dailybulletin.com/2024/05/09/here-are-the-ultraprocessed-foods-you-most-need-to-avoid-according-to-a-30-year-study/")</f>
        <v>https://www.dailybulletin.com/2024/05/09/here-are-the-ultraprocessed-foods-you-most-need-to-avoid-according-to-a-30-year-study/</v>
      </c>
      <c r="C1618" s="2" t="s">
        <v>2014</v>
      </c>
      <c r="D1618" s="3">
        <v>45421.492314814823</v>
      </c>
      <c r="E1618" s="2" t="s">
        <v>102</v>
      </c>
    </row>
    <row r="1619" spans="1:5" ht="98" x14ac:dyDescent="0.2">
      <c r="A1619" s="2" t="s">
        <v>101</v>
      </c>
      <c r="B1619" s="2" t="str">
        <f>HYPERLINK("https://www.pasadenastarnews.com/2024/05/09/here-are-the-ultraprocessed-foods-you-most-need-to-avoid-according-to-a-30-year-study/")</f>
        <v>https://www.pasadenastarnews.com/2024/05/09/here-are-the-ultraprocessed-foods-you-most-need-to-avoid-according-to-a-30-year-study/</v>
      </c>
      <c r="C1619" s="2" t="s">
        <v>2131</v>
      </c>
      <c r="D1619" s="3">
        <v>45421.492314814823</v>
      </c>
      <c r="E1619" s="2" t="s">
        <v>1070</v>
      </c>
    </row>
    <row r="1620" spans="1:5" ht="98" x14ac:dyDescent="0.2">
      <c r="A1620" s="2" t="s">
        <v>101</v>
      </c>
      <c r="B1620" s="2" t="str">
        <f>HYPERLINK("https://www.presstelegram.com/2024/05/09/here-are-the-ultraprocessed-foods-you-most-need-to-avoid-according-to-a-30-year-study/")</f>
        <v>https://www.presstelegram.com/2024/05/09/here-are-the-ultraprocessed-foods-you-most-need-to-avoid-according-to-a-30-year-study/</v>
      </c>
      <c r="C1620" s="2" t="s">
        <v>2281</v>
      </c>
      <c r="D1620" s="3">
        <v>45421.492314814823</v>
      </c>
      <c r="E1620" s="2" t="s">
        <v>102</v>
      </c>
    </row>
    <row r="1621" spans="1:5" ht="98" x14ac:dyDescent="0.2">
      <c r="A1621" s="2" t="s">
        <v>101</v>
      </c>
      <c r="B1621" s="2" t="str">
        <f>HYPERLINK("https://www.pressenterprise.com/2024/05/09/here-are-the-ultraprocessed-foods-you-most-need-to-avoid-according-to-a-30-year-study/")</f>
        <v>https://www.pressenterprise.com/2024/05/09/here-are-the-ultraprocessed-foods-you-most-need-to-avoid-according-to-a-30-year-study/</v>
      </c>
      <c r="C1621" s="2" t="s">
        <v>2384</v>
      </c>
      <c r="D1621" s="3">
        <v>45421.492314814823</v>
      </c>
      <c r="E1621" s="2" t="s">
        <v>102</v>
      </c>
    </row>
    <row r="1622" spans="1:5" ht="98" x14ac:dyDescent="0.2">
      <c r="A1622" s="2" t="s">
        <v>101</v>
      </c>
      <c r="B1622" s="2" t="str">
        <f>HYPERLINK("https://www.sbsun.com/2024/05/09/here-are-the-ultraprocessed-foods-you-most-need-to-avoid-according-to-a-30-year-study/")</f>
        <v>https://www.sbsun.com/2024/05/09/here-are-the-ultraprocessed-foods-you-most-need-to-avoid-according-to-a-30-year-study/</v>
      </c>
      <c r="C1622" s="2" t="s">
        <v>2414</v>
      </c>
      <c r="D1622" s="3">
        <v>45421.492314814823</v>
      </c>
      <c r="E1622" s="2" t="s">
        <v>102</v>
      </c>
    </row>
    <row r="1623" spans="1:5" ht="98" x14ac:dyDescent="0.2">
      <c r="A1623" s="2" t="s">
        <v>101</v>
      </c>
      <c r="B1623" s="2" t="str">
        <f>HYPERLINK("https://www.dailybreeze.com/2024/05/09/here-are-the-ultraprocessed-foods-you-most-need-to-avoid-according-to-a-30-year-study/")</f>
        <v>https://www.dailybreeze.com/2024/05/09/here-are-the-ultraprocessed-foods-you-most-need-to-avoid-according-to-a-30-year-study/</v>
      </c>
      <c r="C1623" s="2" t="s">
        <v>2474</v>
      </c>
      <c r="D1623" s="3">
        <v>45421.492314814823</v>
      </c>
      <c r="E1623" s="2" t="s">
        <v>102</v>
      </c>
    </row>
    <row r="1624" spans="1:5" ht="98" x14ac:dyDescent="0.2">
      <c r="A1624" s="2" t="s">
        <v>101</v>
      </c>
      <c r="B1624" s="2" t="str">
        <f>HYPERLINK("https://www.eastbaytimes.com/2024/05/09/here-are-the-ultraprocessed-foods-you-most-need-to-avoid-according-to-a-30-year-study/")</f>
        <v>https://www.eastbaytimes.com/2024/05/09/here-are-the-ultraprocessed-foods-you-most-need-to-avoid-according-to-a-30-year-study/</v>
      </c>
      <c r="C1624" s="2" t="s">
        <v>2612</v>
      </c>
      <c r="D1624" s="3">
        <v>45421.493750000001</v>
      </c>
      <c r="E1624" s="2" t="s">
        <v>1070</v>
      </c>
    </row>
    <row r="1625" spans="1:5" ht="98" x14ac:dyDescent="0.2">
      <c r="A1625" s="2" t="s">
        <v>101</v>
      </c>
      <c r="B1625" s="2" t="str">
        <f>HYPERLINK("https://www.wlfi.com/news/here-are-the-ultraprocessed-foods-you-most-need-to-avoid-according-to-a-30-year/article_7c20d0a1-929c-59d7-8add-9e53cc80644e.html")</f>
        <v>https://www.wlfi.com/news/here-are-the-ultraprocessed-foods-you-most-need-to-avoid-according-to-a-30-year/article_7c20d0a1-929c-59d7-8add-9e53cc80644e.html</v>
      </c>
      <c r="C1625" s="2" t="s">
        <v>2217</v>
      </c>
      <c r="D1625" s="3">
        <v>45421.496527777781</v>
      </c>
      <c r="E1625" s="2" t="s">
        <v>102</v>
      </c>
    </row>
    <row r="1626" spans="1:5" ht="70" x14ac:dyDescent="0.2">
      <c r="A1626" s="2" t="s">
        <v>101</v>
      </c>
      <c r="B1626" s="2" t="str">
        <f>HYPERLINK("https://www.mercurynews.com/2024/05/09/here-are-the-ultraprocessed-foods-you-most-need-to-avoid-according-to-a-30-year-study/")</f>
        <v>https://www.mercurynews.com/2024/05/09/here-are-the-ultraprocessed-foods-you-most-need-to-avoid-according-to-a-30-year-study/</v>
      </c>
      <c r="C1626" s="2" t="s">
        <v>3341</v>
      </c>
      <c r="D1626" s="3">
        <v>45421.496562499997</v>
      </c>
      <c r="E1626" s="2" t="s">
        <v>493</v>
      </c>
    </row>
    <row r="1627" spans="1:5" ht="98" x14ac:dyDescent="0.2">
      <c r="A1627" s="2" t="s">
        <v>101</v>
      </c>
      <c r="B1627" s="2" t="str">
        <f>HYPERLINK("https://www.siliconvalley.com/2024/05/09/here-are-the-ultraprocessed-foods-you-most-need-to-avoid-according-to-a-30-year-study/")</f>
        <v>https://www.siliconvalley.com/2024/05/09/here-are-the-ultraprocessed-foods-you-most-need-to-avoid-according-to-a-30-year-study/</v>
      </c>
      <c r="C1627" s="2" t="s">
        <v>2155</v>
      </c>
      <c r="D1627" s="3">
        <v>45421.496701388889</v>
      </c>
      <c r="E1627" s="2" t="s">
        <v>102</v>
      </c>
    </row>
    <row r="1628" spans="1:5" ht="98" x14ac:dyDescent="0.2">
      <c r="A1628" s="2" t="s">
        <v>101</v>
      </c>
      <c r="B1628" s="2" t="str">
        <f>HYPERLINK("https://webtimes.uk/here-are-the-ultraprocessed-foods-you-most-need-to-avoid-according-to-a-30-year-study/")</f>
        <v>https://webtimes.uk/here-are-the-ultraprocessed-foods-you-most-need-to-avoid-according-to-a-30-year-study/</v>
      </c>
      <c r="C1628" s="2" t="s">
        <v>47</v>
      </c>
      <c r="D1628" s="3">
        <v>45421.504247685189</v>
      </c>
      <c r="E1628" s="2" t="s">
        <v>102</v>
      </c>
    </row>
    <row r="1629" spans="1:5" ht="56" x14ac:dyDescent="0.2">
      <c r="A1629" s="2" t="s">
        <v>101</v>
      </c>
      <c r="B1629" s="2" t="str">
        <f>HYPERLINK("https://usa-today-news.com/news/here-are-the-ultraprocessed-foods-you-most-need-to-avoid-according-to-a-30-year-study-2/")</f>
        <v>https://usa-today-news.com/news/here-are-the-ultraprocessed-foods-you-most-need-to-avoid-according-to-a-30-year-study-2/</v>
      </c>
      <c r="C1629" s="2" t="s">
        <v>570</v>
      </c>
      <c r="D1629" s="3">
        <v>45421.511250000003</v>
      </c>
      <c r="E1629" s="2" t="s">
        <v>572</v>
      </c>
    </row>
    <row r="1630" spans="1:5" ht="56" x14ac:dyDescent="0.2">
      <c r="A1630" s="2" t="s">
        <v>101</v>
      </c>
      <c r="B1630" s="2" t="str">
        <f>HYPERLINK("https://usa-today-news.com/news/here-are-the-ultraprocessed-foods-you-most-need-to-avoid-according-to-a-30-year-study/")</f>
        <v>https://usa-today-news.com/news/here-are-the-ultraprocessed-foods-you-most-need-to-avoid-according-to-a-30-year-study/</v>
      </c>
      <c r="C1630" s="2" t="s">
        <v>570</v>
      </c>
      <c r="D1630" s="3">
        <v>45421.511342592603</v>
      </c>
      <c r="E1630" s="2" t="s">
        <v>572</v>
      </c>
    </row>
    <row r="1631" spans="1:5" ht="70" x14ac:dyDescent="0.2">
      <c r="A1631" s="2" t="s">
        <v>101</v>
      </c>
      <c r="B1631" s="2" t="str">
        <f>HYPERLINK("https://usanewssite.com/culture/here-are-the-ultraprocessed-foods-you-most-need-to-avoid-according-to-a-30-year-study/")</f>
        <v>https://usanewssite.com/culture/here-are-the-ultraprocessed-foods-you-most-need-to-avoid-according-to-a-30-year-study/</v>
      </c>
      <c r="C1631" s="2" t="s">
        <v>604</v>
      </c>
      <c r="D1631" s="3">
        <v>45421.51767361111</v>
      </c>
      <c r="E1631" s="2" t="s">
        <v>493</v>
      </c>
    </row>
    <row r="1632" spans="1:5" ht="70" x14ac:dyDescent="0.2">
      <c r="A1632" s="2" t="s">
        <v>101</v>
      </c>
      <c r="B1632" s="2" t="str">
        <f>HYPERLINK("https://todayschronic.com/here-are-the-ultraprocessed-foods-you-most-need-to-avoid-according-to-a-30-year-study/")</f>
        <v>https://todayschronic.com/here-are-the-ultraprocessed-foods-you-most-need-to-avoid-according-to-a-30-year-study/</v>
      </c>
      <c r="C1632" s="2" t="s">
        <v>524</v>
      </c>
      <c r="D1632" s="3">
        <v>45421.520439814813</v>
      </c>
      <c r="E1632" s="2" t="s">
        <v>493</v>
      </c>
    </row>
    <row r="1633" spans="1:5" ht="98" x14ac:dyDescent="0.2">
      <c r="A1633" s="2" t="s">
        <v>1957</v>
      </c>
      <c r="B1633" s="2" t="str">
        <f>HYPERLINK("https://kion546.com/health/cnn-health/2024/05/09/here-are-the-ultraprocessed-foods-you-most-need-to-avoid-according-to-a-30-year-study/")</f>
        <v>https://kion546.com/health/cnn-health/2024/05/09/here-are-the-ultraprocessed-foods-you-most-need-to-avoid-according-to-a-30-year-study/</v>
      </c>
      <c r="C1633" s="2" t="s">
        <v>1955</v>
      </c>
      <c r="D1633" s="3">
        <v>45421.527129629627</v>
      </c>
      <c r="E1633" s="2" t="s">
        <v>102</v>
      </c>
    </row>
    <row r="1634" spans="1:5" ht="98" x14ac:dyDescent="0.2">
      <c r="A1634" s="2" t="s">
        <v>101</v>
      </c>
      <c r="B1634" s="2" t="str">
        <f>HYPERLINK("https://www.waaytv.com/here-are-the-ultraprocessed-foods-you-most-need-to-avoid-according-to-a-30-year/article_4bb8add9-8f24-5a38-9b45-83897f339498.html")</f>
        <v>https://www.waaytv.com/here-are-the-ultraprocessed-foods-you-most-need-to-avoid-according-to-a-30-year/article_4bb8add9-8f24-5a38-9b45-83897f339498.html</v>
      </c>
      <c r="C1634" s="2" t="s">
        <v>2278</v>
      </c>
      <c r="D1634" s="3">
        <v>45421.55300925926</v>
      </c>
      <c r="E1634" s="2" t="s">
        <v>102</v>
      </c>
    </row>
    <row r="1635" spans="1:5" ht="98" x14ac:dyDescent="0.2">
      <c r="A1635" s="2" t="s">
        <v>101</v>
      </c>
      <c r="B1635" s="2" t="str">
        <f>HYPERLINK("http://swifttelecast.com/here-are-the-ultraprocessed-foods-you-most-need-to-avoid-according-to-a-30-year-study/")</f>
        <v>http://swifttelecast.com/here-are-the-ultraprocessed-foods-you-most-need-to-avoid-according-to-a-30-year-study/</v>
      </c>
      <c r="C1635" s="2" t="s">
        <v>283</v>
      </c>
      <c r="D1635" s="3">
        <v>45421.556967592587</v>
      </c>
      <c r="E1635" s="2" t="s">
        <v>102</v>
      </c>
    </row>
    <row r="1636" spans="1:5" ht="70" x14ac:dyDescent="0.2">
      <c r="A1636" s="2" t="s">
        <v>101</v>
      </c>
      <c r="B1636" s="2" t="str">
        <f>HYPERLINK("http://stylemagazine.com/news/2024/may/09/here-are-the-ultraprocessed-foods-you-most-need-to-avoid-according-to-a-30-year-study/")</f>
        <v>http://stylemagazine.com/news/2024/may/09/here-are-the-ultraprocessed-foods-you-most-need-to-avoid-according-to-a-30-year-study/</v>
      </c>
      <c r="C1636" s="2" t="s">
        <v>1154</v>
      </c>
      <c r="D1636" s="3">
        <v>45421.588194444441</v>
      </c>
      <c r="E1636" s="2" t="s">
        <v>493</v>
      </c>
    </row>
    <row r="1637" spans="1:5" ht="70" x14ac:dyDescent="0.2">
      <c r="A1637" s="2" t="s">
        <v>101</v>
      </c>
      <c r="B1637" s="2" t="str">
        <f>HYPERLINK("http://yoursbulletin.com/here-are-the-ultraprocessed-foods-you-most-need-to-avoid-according-to-a-30-year-study/")</f>
        <v>http://yoursbulletin.com/here-are-the-ultraprocessed-foods-you-most-need-to-avoid-according-to-a-30-year-study/</v>
      </c>
      <c r="C1637" s="2" t="s">
        <v>789</v>
      </c>
      <c r="D1637" s="3">
        <v>45421.62023148148</v>
      </c>
      <c r="E1637" s="2" t="s">
        <v>493</v>
      </c>
    </row>
    <row r="1638" spans="1:5" ht="84" x14ac:dyDescent="0.2">
      <c r="A1638" s="2" t="s">
        <v>456</v>
      </c>
      <c r="B1638" s="2" t="str">
        <f>HYPERLINK("https://es-us.vida-estilo.yahoo.com/noticias/alimentos-ultraprocesados-debes-evitar-estudio-063826694.html")</f>
        <v>https://es-us.vida-estilo.yahoo.com/noticias/alimentos-ultraprocesados-debes-evitar-estudio-063826694.html</v>
      </c>
      <c r="C1638" s="2" t="s">
        <v>3029</v>
      </c>
      <c r="D1638" s="3">
        <v>45421.666909722233</v>
      </c>
      <c r="E1638" s="2" t="s">
        <v>281</v>
      </c>
    </row>
    <row r="1639" spans="1:5" ht="42" x14ac:dyDescent="0.2">
      <c r="A1639" s="2" t="s">
        <v>2826</v>
      </c>
      <c r="B1639" s="2" t="str">
        <f>HYPERLINK("https://japantoday.com/category/features/health/can-yogurt-reduce-the-risk-of-type-2-diabetes")</f>
        <v>https://japantoday.com/category/features/health/can-yogurt-reduce-the-risk-of-type-2-diabetes</v>
      </c>
      <c r="C1639" s="2" t="s">
        <v>2784</v>
      </c>
      <c r="D1639" s="3">
        <v>45421.668749999997</v>
      </c>
      <c r="E1639" s="2" t="s">
        <v>70</v>
      </c>
    </row>
    <row r="1640" spans="1:5" ht="126" x14ac:dyDescent="0.2">
      <c r="A1640" s="2" t="s">
        <v>456</v>
      </c>
      <c r="B1640" s="2" t="str">
        <f>HYPERLINK("https://es-us.noticias.yahoo.com/alimentos-ultraprocesados-debes-evitar-estudio-063826694.html")</f>
        <v>https://es-us.noticias.yahoo.com/alimentos-ultraprocesados-debes-evitar-estudio-063826694.html</v>
      </c>
      <c r="C1640" s="2" t="s">
        <v>3197</v>
      </c>
      <c r="D1640" s="3">
        <v>45421.669502314813</v>
      </c>
      <c r="E1640" s="2" t="s">
        <v>3198</v>
      </c>
    </row>
    <row r="1641" spans="1:5" ht="70" x14ac:dyDescent="0.2">
      <c r="A1641" s="2" t="s">
        <v>2941</v>
      </c>
      <c r="B1641" s="2" t="str">
        <f>HYPERLINK("https://www.oslobodjenje.ba/magazin/zdravlje/ovu-ultrapreradenu-hranu-morate-izbjegavati-952769")</f>
        <v>https://www.oslobodjenje.ba/magazin/zdravlje/ovu-ultrapreradenu-hranu-morate-izbjegavati-952769</v>
      </c>
      <c r="C1641" s="2" t="s">
        <v>2942</v>
      </c>
      <c r="D1641" s="3">
        <v>45421.672291666669</v>
      </c>
      <c r="E1641" s="2" t="s">
        <v>2943</v>
      </c>
    </row>
    <row r="1642" spans="1:5" ht="98" x14ac:dyDescent="0.2">
      <c r="A1642" s="2" t="s">
        <v>101</v>
      </c>
      <c r="B1642" s="2" t="str">
        <f>HYPERLINK("https://www.sgvtribune.com/2024/05/09/here-are-the-ultraprocessed-foods-you-most-need-to-avoid-according-to-a-30-year-study/")</f>
        <v>https://www.sgvtribune.com/2024/05/09/here-are-the-ultraprocessed-foods-you-most-need-to-avoid-according-to-a-30-year-study/</v>
      </c>
      <c r="C1642" s="2" t="s">
        <v>2080</v>
      </c>
      <c r="D1642" s="3">
        <v>45421.71429398148</v>
      </c>
      <c r="E1642" s="2" t="s">
        <v>102</v>
      </c>
    </row>
    <row r="1643" spans="1:5" ht="98" x14ac:dyDescent="0.2">
      <c r="A1643" s="2" t="s">
        <v>101</v>
      </c>
      <c r="B1643" s="2" t="str">
        <f>HYPERLINK("https://www.ocregister.com/2024/05/09/here-are-the-ultraprocessed-foods-you-most-need-to-avoid-according-to-a-30-year-study/")</f>
        <v>https://www.ocregister.com/2024/05/09/here-are-the-ultraprocessed-foods-you-most-need-to-avoid-according-to-a-30-year-study/</v>
      </c>
      <c r="C1643" s="2" t="s">
        <v>3103</v>
      </c>
      <c r="D1643" s="3">
        <v>45421.714456018519</v>
      </c>
      <c r="E1643" s="2" t="s">
        <v>102</v>
      </c>
    </row>
    <row r="1644" spans="1:5" ht="98" x14ac:dyDescent="0.2">
      <c r="A1644" s="2" t="s">
        <v>101</v>
      </c>
      <c r="B1644" s="2" t="str">
        <f>HYPERLINK("https://www.dailynews.com/2024/05/09/here-are-the-ultraprocessed-foods-you-most-need-to-avoid-according-to-a-30-year-study/")</f>
        <v>https://www.dailynews.com/2024/05/09/here-are-the-ultraprocessed-foods-you-most-need-to-avoid-according-to-a-30-year-study/</v>
      </c>
      <c r="C1644" s="2" t="s">
        <v>2780</v>
      </c>
      <c r="D1644" s="3">
        <v>45421.714583333327</v>
      </c>
      <c r="E1644" s="2" t="s">
        <v>102</v>
      </c>
    </row>
    <row r="1645" spans="1:5" ht="70" x14ac:dyDescent="0.2">
      <c r="A1645" s="2" t="s">
        <v>1066</v>
      </c>
      <c r="B1645" s="2" t="str">
        <f>HYPERLINK("https://www.yahoo.com/news/study-ultra-processed-foods-most-215213818.html")</f>
        <v>https://www.yahoo.com/news/study-ultra-processed-foods-most-215213818.html</v>
      </c>
      <c r="C1645" s="2" t="s">
        <v>3728</v>
      </c>
      <c r="D1645" s="3">
        <v>45421.74459490741</v>
      </c>
      <c r="E1645" s="2" t="s">
        <v>3487</v>
      </c>
    </row>
    <row r="1646" spans="1:5" ht="70" x14ac:dyDescent="0.2">
      <c r="A1646" s="2" t="s">
        <v>3302</v>
      </c>
      <c r="B1646" s="2" t="str">
        <f>HYPERLINK("https://www.deseret.com/lifestyle/2024/05/09/ultra-processed-foods-early-death-brain-health-sugary-drinks/")</f>
        <v>https://www.deseret.com/lifestyle/2024/05/09/ultra-processed-foods-early-death-brain-health-sugary-drinks/</v>
      </c>
      <c r="C1646" s="2" t="s">
        <v>3303</v>
      </c>
      <c r="D1646" s="3">
        <v>45421.744629629633</v>
      </c>
      <c r="E1646" s="2" t="s">
        <v>3304</v>
      </c>
    </row>
    <row r="1647" spans="1:5" ht="224" x14ac:dyDescent="0.2">
      <c r="A1647" s="2" t="s">
        <v>3170</v>
      </c>
      <c r="B1647" s="2" t="str">
        <f>HYPERLINK("https://www.epochtimes.com/gb/24/5/9/n14244942.htm")</f>
        <v>https://www.epochtimes.com/gb/24/5/9/n14244942.htm</v>
      </c>
      <c r="C1647" s="2" t="s">
        <v>3142</v>
      </c>
      <c r="D1647" s="3">
        <v>45421.800613425927</v>
      </c>
      <c r="E1647" s="2" t="s">
        <v>3171</v>
      </c>
    </row>
    <row r="1648" spans="1:5" ht="84" x14ac:dyDescent="0.2">
      <c r="A1648" s="2" t="s">
        <v>3187</v>
      </c>
      <c r="B1648" s="2" t="str">
        <f>HYPERLINK("https://ziare.com/alimente-ultraprocesate/alimente-ultraprocesate-risc-moarte-prematura-alimente-procesate-efecte-grave-sanatate-1868871")</f>
        <v>https://ziare.com/alimente-ultraprocesate/alimente-ultraprocesate-risc-moarte-prematura-alimente-procesate-efecte-grave-sanatate-1868871</v>
      </c>
      <c r="C1648" s="2" t="s">
        <v>3188</v>
      </c>
      <c r="D1648" s="3">
        <v>45421.804131944453</v>
      </c>
      <c r="E1648" s="2" t="s">
        <v>2335</v>
      </c>
    </row>
    <row r="1649" spans="1:5" ht="98" x14ac:dyDescent="0.2">
      <c r="A1649" s="2" t="s">
        <v>101</v>
      </c>
      <c r="B1649" s="2" t="str">
        <f>HYPERLINK("https://www.waow.com/townnews/university/here-are-the-ultraprocessed-foods-you-most-need-to-avoid-according-to-a-30-year/article_d4286326-069e-5f3d-aa4a-0e089af4258e.html")</f>
        <v>https://www.waow.com/townnews/university/here-are-the-ultraprocessed-foods-you-most-need-to-avoid-according-to-a-30-year/article_d4286326-069e-5f3d-aa4a-0e089af4258e.html</v>
      </c>
      <c r="C1649" s="2" t="s">
        <v>2174</v>
      </c>
      <c r="D1649" s="3">
        <v>45421.817708333343</v>
      </c>
      <c r="E1649" s="2" t="s">
        <v>102</v>
      </c>
    </row>
    <row r="1650" spans="1:5" ht="196" x14ac:dyDescent="0.2">
      <c r="A1650" s="2" t="s">
        <v>4169</v>
      </c>
      <c r="B1650" s="2" t="str">
        <f>HYPERLINK("https://icitynews.com/?p=421331")</f>
        <v>https://icitynews.com/?p=421331</v>
      </c>
      <c r="C1650" s="2" t="s">
        <v>4170</v>
      </c>
      <c r="D1650" s="3">
        <v>45421.838912037027</v>
      </c>
      <c r="E1650" s="2" t="s">
        <v>4171</v>
      </c>
    </row>
    <row r="1651" spans="1:5" ht="70" x14ac:dyDescent="0.2">
      <c r="A1651" s="2" t="s">
        <v>1066</v>
      </c>
      <c r="B1651" s="2" t="str">
        <f>HYPERLINK("https://www.newsbreak.com/news/3433631054102-study-the-ultra-processed-foods-most-likely-to-shorten-your-life")</f>
        <v>https://www.newsbreak.com/news/3433631054102-study-the-ultra-processed-foods-most-likely-to-shorten-your-life</v>
      </c>
      <c r="C1651" s="2" t="s">
        <v>3461</v>
      </c>
      <c r="D1651" s="3">
        <v>45421.911261574067</v>
      </c>
      <c r="E1651" s="2" t="s">
        <v>3487</v>
      </c>
    </row>
    <row r="1652" spans="1:5" ht="98" x14ac:dyDescent="0.2">
      <c r="A1652" s="2" t="s">
        <v>101</v>
      </c>
      <c r="B1652" s="2" t="str">
        <f>HYPERLINK("https://www.kxly.com/here-are-the-ultraprocessed-foods-you-most-need-to-avoid-according-to-a-30-year/article_52e0953b-5761-5dc3-baf3-0484f34231b3.html")</f>
        <v>https://www.kxly.com/here-are-the-ultraprocessed-foods-you-most-need-to-avoid-according-to-a-30-year/article_52e0953b-5761-5dc3-baf3-0484f34231b3.html</v>
      </c>
      <c r="C1652" s="2" t="s">
        <v>2299</v>
      </c>
      <c r="D1652" s="3">
        <v>45421.935312499998</v>
      </c>
      <c r="E1652" s="2" t="s">
        <v>102</v>
      </c>
    </row>
    <row r="1653" spans="1:5" ht="84" x14ac:dyDescent="0.2">
      <c r="A1653" s="2" t="s">
        <v>208</v>
      </c>
      <c r="B1653" s="2" t="str">
        <f>HYPERLINK("https://www.forosocuellamos.com/que-alimentos-ultraprocesados-estan-relacionados-con-una-vida-mas-corta-noticias-deseret/")</f>
        <v>https://www.forosocuellamos.com/que-alimentos-ultraprocesados-estan-relacionados-con-una-vida-mas-corta-noticias-deseret/</v>
      </c>
      <c r="C1653" s="2" t="s">
        <v>209</v>
      </c>
      <c r="D1653" s="3">
        <v>45421.951608796298</v>
      </c>
      <c r="E1653" s="2" t="s">
        <v>210</v>
      </c>
    </row>
    <row r="1654" spans="1:5" ht="98" x14ac:dyDescent="0.2">
      <c r="A1654" s="2" t="s">
        <v>720</v>
      </c>
      <c r="B1654" s="2" t="str">
        <f>HYPERLINK("https://canadanewsmedia.ca/here-are-the-ultraprocessed-foods-you-most-need-to-avoid-according-to-a-30-year-study-cp24/")</f>
        <v>https://canadanewsmedia.ca/here-are-the-ultraprocessed-foods-you-most-need-to-avoid-according-to-a-30-year-study-cp24/</v>
      </c>
      <c r="C1654" s="2" t="s">
        <v>721</v>
      </c>
      <c r="D1654" s="3">
        <v>45421.9528587963</v>
      </c>
      <c r="E1654" s="2" t="s">
        <v>722</v>
      </c>
    </row>
    <row r="1655" spans="1:5" ht="98" x14ac:dyDescent="0.2">
      <c r="A1655" s="2" t="s">
        <v>723</v>
      </c>
      <c r="B1655" s="2" t="str">
        <f>HYPERLINK("https://canadanewsmedia.ca/7-eating-drinking-habits-that-increase-your-cancer-risk-yahoo-canada-shine-on/")</f>
        <v>https://canadanewsmedia.ca/7-eating-drinking-habits-that-increase-your-cancer-risk-yahoo-canada-shine-on/</v>
      </c>
      <c r="C1655" s="2" t="s">
        <v>721</v>
      </c>
      <c r="D1655" s="3">
        <v>45421.962002314824</v>
      </c>
      <c r="E1655" s="2" t="s">
        <v>722</v>
      </c>
    </row>
    <row r="1656" spans="1:5" ht="70" x14ac:dyDescent="0.2">
      <c r="A1656" s="2" t="s">
        <v>1753</v>
      </c>
      <c r="B1656" s="2" t="str">
        <f>HYPERLINK("https://dairynews.today/global/news/fda-approves-qualified-health-claim-linking-yogurt-consumption-to-reduced-risk-of-type-2-diabetes-am.html")</f>
        <v>https://dairynews.today/global/news/fda-approves-qualified-health-claim-linking-yogurt-consumption-to-reduced-risk-of-type-2-diabetes-am.html</v>
      </c>
      <c r="C1656" s="2" t="s">
        <v>1754</v>
      </c>
      <c r="D1656" s="3">
        <v>45422</v>
      </c>
      <c r="E1656" s="2" t="s">
        <v>1755</v>
      </c>
    </row>
    <row r="1657" spans="1:5" ht="126" x14ac:dyDescent="0.2">
      <c r="A1657" s="2" t="s">
        <v>3606</v>
      </c>
      <c r="B1657" s="2" t="str">
        <f>HYPERLINK("https://www.kompas.com/food/read/2024/05/10/123100275/kaitan-makanan-ultra-proses-dengan-risiko-kematian-dini-dan-penyakit")</f>
        <v>https://www.kompas.com/food/read/2024/05/10/123100275/kaitan-makanan-ultra-proses-dengan-risiko-kematian-dini-dan-penyakit</v>
      </c>
      <c r="C1657" s="2" t="s">
        <v>3607</v>
      </c>
      <c r="D1657" s="3">
        <v>45422.063194444447</v>
      </c>
      <c r="E1657" s="2" t="s">
        <v>3608</v>
      </c>
    </row>
    <row r="1658" spans="1:5" ht="397" x14ac:dyDescent="0.2">
      <c r="A1658" s="2" t="s">
        <v>2675</v>
      </c>
      <c r="B1658" s="2" t="str">
        <f>HYPERLINK("https://hk.epochtimes.com/news/2024-05-10/80123486")</f>
        <v>https://hk.epochtimes.com/news/2024-05-10/80123486</v>
      </c>
      <c r="C1658" s="2" t="s">
        <v>3142</v>
      </c>
      <c r="D1658" s="3">
        <v>45422.111400462964</v>
      </c>
      <c r="E1658" s="2" t="s">
        <v>3167</v>
      </c>
    </row>
    <row r="1659" spans="1:5" ht="168" x14ac:dyDescent="0.2">
      <c r="A1659" s="2" t="s">
        <v>3297</v>
      </c>
      <c r="B1659" s="2" t="str">
        <f>HYPERLINK("https://stirileprotv.ro/divers/alimentele-pe-care-nu-ar-trebui-sa-le-mananci-niciodata-multi-romani-le-consuma-desi-isi-pot-grabi-moartea.html")</f>
        <v>https://stirileprotv.ro/divers/alimentele-pe-care-nu-ar-trebui-sa-le-mananci-niciodata-multi-romani-le-consuma-desi-isi-pot-grabi-moartea.html</v>
      </c>
      <c r="C1659" s="2" t="s">
        <v>3298</v>
      </c>
      <c r="D1659" s="3">
        <v>45422.144918981481</v>
      </c>
      <c r="E1659" s="2" t="s">
        <v>3299</v>
      </c>
    </row>
    <row r="1660" spans="1:5" ht="42" x14ac:dyDescent="0.2">
      <c r="A1660" s="2" t="s">
        <v>3053</v>
      </c>
      <c r="B1660" s="2" t="str">
        <f>HYPERLINK("https://www.statnews.com/2024/05/10/dietary-guidelines-alcohol-lobbyists-health/")</f>
        <v>https://www.statnews.com/2024/05/10/dietary-guidelines-alcohol-lobbyists-health/</v>
      </c>
      <c r="C1660" s="2" t="s">
        <v>3025</v>
      </c>
      <c r="D1660" s="3">
        <v>45422.208240740743</v>
      </c>
      <c r="E1660" s="2" t="s">
        <v>3054</v>
      </c>
    </row>
    <row r="1661" spans="1:5" ht="42" x14ac:dyDescent="0.2">
      <c r="A1661" s="2" t="s">
        <v>3095</v>
      </c>
      <c r="B1661" s="2" t="str">
        <f>HYPERLINK("https://www.reviewjournal.com/livewell/can-yogurt-reduce-the-risk-of-type-2-diabetes-3048608/")</f>
        <v>https://www.reviewjournal.com/livewell/can-yogurt-reduce-the-risk-of-type-2-diabetes-3048608/</v>
      </c>
      <c r="C1661" s="2" t="s">
        <v>3096</v>
      </c>
      <c r="D1661" s="3">
        <v>45422.42292824074</v>
      </c>
      <c r="E1661" s="2" t="s">
        <v>70</v>
      </c>
    </row>
    <row r="1662" spans="1:5" ht="70" x14ac:dyDescent="0.2">
      <c r="A1662" s="2" t="s">
        <v>1636</v>
      </c>
      <c r="B1662" s="2" t="str">
        <f>HYPERLINK("https://www.ajc.com/pulse/30-year-study-ultraprocessed-foods-increase-risk-of-death-by-any-cause/U22DA2FSFVGUTLN2CHONU5DTAU/")</f>
        <v>https://www.ajc.com/pulse/30-year-study-ultraprocessed-foods-increase-risk-of-death-by-any-cause/U22DA2FSFVGUTLN2CHONU5DTAU/</v>
      </c>
      <c r="C1662" s="2" t="s">
        <v>3244</v>
      </c>
      <c r="D1662" s="3">
        <v>45422.460648148153</v>
      </c>
      <c r="E1662" s="2" t="s">
        <v>1637</v>
      </c>
    </row>
    <row r="1663" spans="1:5" ht="112" x14ac:dyDescent="0.2">
      <c r="A1663" s="2" t="s">
        <v>3056</v>
      </c>
      <c r="B1663" s="2" t="str">
        <f>HYPERLINK("https://evz.ro/alimentele-care-trebuie-evitate-pot-creste-riscul-de-deces-prematur.html")</f>
        <v>https://evz.ro/alimentele-care-trebuie-evitate-pot-creste-riscul-de-deces-prematur.html</v>
      </c>
      <c r="C1663" s="2" t="s">
        <v>3057</v>
      </c>
      <c r="D1663" s="3">
        <v>45422.552905092591</v>
      </c>
      <c r="E1663" s="2" t="s">
        <v>3058</v>
      </c>
    </row>
    <row r="1664" spans="1:5" ht="98" x14ac:dyDescent="0.2">
      <c r="A1664" s="2" t="s">
        <v>101</v>
      </c>
      <c r="B1664" s="2" t="str">
        <f>HYPERLINK("https://www.wishtv.com/focus-on-food/here-are-the-ultraprocessed-foods-you-most-need-to-avoid-according-to-a-30-year-study/")</f>
        <v>https://www.wishtv.com/focus-on-food/here-are-the-ultraprocessed-foods-you-most-need-to-avoid-according-to-a-30-year-study/</v>
      </c>
      <c r="C1664" s="2" t="s">
        <v>2768</v>
      </c>
      <c r="D1664" s="3">
        <v>45422.568784722222</v>
      </c>
      <c r="E1664" s="2" t="s">
        <v>102</v>
      </c>
    </row>
    <row r="1665" spans="1:5" ht="112" x14ac:dyDescent="0.2">
      <c r="A1665" s="2" t="s">
        <v>3158</v>
      </c>
      <c r="B1665" s="2" t="str">
        <f>HYPERLINK("https://mandiner.hu/elet/2024/05/jobb-ha-elkeruli-ezektol-a-kozkedvelt-etelektol-halhat-meg-korabban")</f>
        <v>https://mandiner.hu/elet/2024/05/jobb-ha-elkeruli-ezektol-a-kozkedvelt-etelektol-halhat-meg-korabban</v>
      </c>
      <c r="C1665" s="2" t="s">
        <v>3159</v>
      </c>
      <c r="D1665" s="3">
        <v>45422.642361111109</v>
      </c>
      <c r="E1665" s="2" t="s">
        <v>3160</v>
      </c>
    </row>
    <row r="1666" spans="1:5" ht="70" x14ac:dyDescent="0.2">
      <c r="A1666" s="2" t="s">
        <v>1608</v>
      </c>
      <c r="B1666" s="2" t="str">
        <f>HYPERLINK("https://www.infobae.com/salud/2024/05/10/6-terminos-enganosos-en-las-etiquetas-de-los-alimentos-y-su-significado-real/")</f>
        <v>https://www.infobae.com/salud/2024/05/10/6-terminos-enganosos-en-las-etiquetas-de-los-alimentos-y-su-significado-real/</v>
      </c>
      <c r="C1666" s="2" t="s">
        <v>3689</v>
      </c>
      <c r="D1666" s="3">
        <v>45422.778391203698</v>
      </c>
      <c r="E1666" s="2" t="s">
        <v>1609</v>
      </c>
    </row>
    <row r="1667" spans="1:5" ht="70" x14ac:dyDescent="0.2">
      <c r="A1667" s="2" t="s">
        <v>1608</v>
      </c>
      <c r="B1667" s="2" t="str">
        <f>HYPERLINK("https://lado.mx/noticia.php?id=15848118")</f>
        <v>https://lado.mx/noticia.php?id=15848118</v>
      </c>
      <c r="C1667" s="2" t="s">
        <v>1599</v>
      </c>
      <c r="D1667" s="3">
        <v>45422.778877314813</v>
      </c>
      <c r="E1667" s="2" t="s">
        <v>1609</v>
      </c>
    </row>
    <row r="1668" spans="1:5" ht="84" x14ac:dyDescent="0.2">
      <c r="A1668" s="2" t="s">
        <v>279</v>
      </c>
      <c r="B1668" s="2" t="str">
        <f>HYPERLINK("https://n24.mx/deportes/estos-son-los-alimentos-ultraprocesados-que-mas-debes-evitar-segun-un-estudio-de-30-anos/")</f>
        <v>https://n24.mx/deportes/estos-son-los-alimentos-ultraprocesados-que-mas-debes-evitar-segun-un-estudio-de-30-anos/</v>
      </c>
      <c r="C1668" s="2" t="s">
        <v>280</v>
      </c>
      <c r="D1668" s="3">
        <v>45422.866400462961</v>
      </c>
      <c r="E1668" s="2" t="s">
        <v>281</v>
      </c>
    </row>
    <row r="1669" spans="1:5" ht="84" x14ac:dyDescent="0.2">
      <c r="A1669" s="2" t="s">
        <v>1636</v>
      </c>
      <c r="B1669" s="2" t="str">
        <f>HYPERLINK("https://www.union-bulletin.com/news/national/30-year-study-ultraprocessed-foods-increase-risk-of-death-by-any-cause/article_e643860c-bbeb-5254-ad30-53ad5c73950e.html")</f>
        <v>https://www.union-bulletin.com/news/national/30-year-study-ultraprocessed-foods-increase-risk-of-death-by-any-cause/article_e643860c-bbeb-5254-ad30-53ad5c73950e.html</v>
      </c>
      <c r="C1669" s="2" t="s">
        <v>1877</v>
      </c>
      <c r="D1669" s="3">
        <v>45423</v>
      </c>
      <c r="E1669" s="2" t="s">
        <v>1637</v>
      </c>
    </row>
    <row r="1670" spans="1:5" ht="70" x14ac:dyDescent="0.2">
      <c r="A1670" s="2" t="s">
        <v>2057</v>
      </c>
      <c r="B1670" s="2" t="str">
        <f>HYPERLINK("http://www.habervitrini.com/bmden-30-yillik-arastirma-iste-asla-eve-sokmamamiz-gereken-yiyecekler/1119456")</f>
        <v>http://www.habervitrini.com/bmden-30-yillik-arastirma-iste-asla-eve-sokmamamiz-gereken-yiyecekler/1119456</v>
      </c>
      <c r="C1670" s="2" t="s">
        <v>2058</v>
      </c>
      <c r="D1670" s="3">
        <v>45423</v>
      </c>
      <c r="E1670" s="2" t="s">
        <v>2059</v>
      </c>
    </row>
    <row r="1671" spans="1:5" ht="70" x14ac:dyDescent="0.2">
      <c r="A1671" s="2" t="s">
        <v>1636</v>
      </c>
      <c r="B1671" s="2" t="str">
        <f>HYPERLINK("https://www.dailyitem.com/wire/30-year-study-ultraprocessed-foods-increase-risk-of-death-by-any-cause/article_13508a52-34e0-54ea-afc5-f398f0764eea.html")</f>
        <v>https://www.dailyitem.com/wire/30-year-study-ultraprocessed-foods-increase-risk-of-death-by-any-cause/article_13508a52-34e0-54ea-afc5-f398f0764eea.html</v>
      </c>
      <c r="C1671" s="2" t="s">
        <v>2128</v>
      </c>
      <c r="D1671" s="3">
        <v>45423</v>
      </c>
      <c r="E1671" s="2" t="s">
        <v>1637</v>
      </c>
    </row>
    <row r="1672" spans="1:5" ht="42" x14ac:dyDescent="0.2">
      <c r="A1672" s="2" t="s">
        <v>1636</v>
      </c>
      <c r="B1672" s="2" t="str">
        <f>HYPERLINK("https://www.arcamax.com/currentnews/newsheadlines/s-3242550")</f>
        <v>https://www.arcamax.com/currentnews/newsheadlines/s-3242550</v>
      </c>
      <c r="C1672" s="2" t="s">
        <v>2841</v>
      </c>
      <c r="D1672" s="3">
        <v>45423</v>
      </c>
      <c r="E1672" s="2" t="s">
        <v>1637</v>
      </c>
    </row>
    <row r="1673" spans="1:5" ht="154" x14ac:dyDescent="0.2">
      <c r="A1673" s="2" t="s">
        <v>3300</v>
      </c>
      <c r="B1673" s="2" t="str">
        <f>HYPERLINK("https://stirileprotv.ro/divers/studiu-alimentele-ultraprocesate-pe-care-trebuie-sa-le-eviti-cresc-riscul-de-moarte-prematura.html")</f>
        <v>https://stirileprotv.ro/divers/studiu-alimentele-ultraprocesate-pe-care-trebuie-sa-le-eviti-cresc-riscul-de-moarte-prematura.html</v>
      </c>
      <c r="C1673" s="2" t="s">
        <v>3298</v>
      </c>
      <c r="D1673" s="3">
        <v>45423.067349537043</v>
      </c>
      <c r="E1673" s="2" t="s">
        <v>3301</v>
      </c>
    </row>
    <row r="1674" spans="1:5" ht="42" x14ac:dyDescent="0.2">
      <c r="A1674" s="2" t="s">
        <v>1636</v>
      </c>
      <c r="B1674" s="2" t="str">
        <f>HYPERLINK("https://www.heraldsun.com/news/nation-world/national/article288458287.html")</f>
        <v>https://www.heraldsun.com/news/nation-world/national/article288458287.html</v>
      </c>
      <c r="C1674" s="2" t="s">
        <v>1625</v>
      </c>
      <c r="D1674" s="3">
        <v>45423.166666666657</v>
      </c>
      <c r="E1674" s="2" t="s">
        <v>1637</v>
      </c>
    </row>
    <row r="1675" spans="1:5" ht="42" x14ac:dyDescent="0.2">
      <c r="A1675" s="2" t="s">
        <v>1636</v>
      </c>
      <c r="B1675" s="2" t="str">
        <f>HYPERLINK("https://www.bradenton.com/news/nation-world/national/article288458287.html")</f>
        <v>https://www.bradenton.com/news/nation-world/national/article288458287.html</v>
      </c>
      <c r="C1675" s="2" t="s">
        <v>2218</v>
      </c>
      <c r="D1675" s="3">
        <v>45423.166666666657</v>
      </c>
      <c r="E1675" s="2" t="s">
        <v>1637</v>
      </c>
    </row>
    <row r="1676" spans="1:5" ht="42" x14ac:dyDescent="0.2">
      <c r="A1676" s="2" t="s">
        <v>1636</v>
      </c>
      <c r="B1676" s="2" t="str">
        <f>HYPERLINK("https://www.modbee.com/news/nation-world/national/article288458287.html")</f>
        <v>https://www.modbee.com/news/nation-world/national/article288458287.html</v>
      </c>
      <c r="C1676" s="2" t="s">
        <v>2247</v>
      </c>
      <c r="D1676" s="3">
        <v>45423.166666666657</v>
      </c>
      <c r="E1676" s="2" t="s">
        <v>1637</v>
      </c>
    </row>
    <row r="1677" spans="1:5" ht="42" x14ac:dyDescent="0.2">
      <c r="A1677" s="2" t="s">
        <v>1636</v>
      </c>
      <c r="B1677" s="2" t="str">
        <f>HYPERLINK("https://www.myrtlebeachonline.com/news/nation-world/national/article288458287.html")</f>
        <v>https://www.myrtlebeachonline.com/news/nation-world/national/article288458287.html</v>
      </c>
      <c r="C1677" s="2" t="s">
        <v>2379</v>
      </c>
      <c r="D1677" s="3">
        <v>45423.166666666657</v>
      </c>
      <c r="E1677" s="2" t="s">
        <v>1637</v>
      </c>
    </row>
    <row r="1678" spans="1:5" ht="42" x14ac:dyDescent="0.2">
      <c r="A1678" s="2" t="s">
        <v>1636</v>
      </c>
      <c r="B1678" s="2" t="str">
        <f>HYPERLINK("https://www.tri-cityherald.com/news/nation-world/national/article288458287.html")</f>
        <v>https://www.tri-cityherald.com/news/nation-world/national/article288458287.html</v>
      </c>
      <c r="C1678" s="2" t="s">
        <v>2393</v>
      </c>
      <c r="D1678" s="3">
        <v>45423.166666666657</v>
      </c>
      <c r="E1678" s="2" t="s">
        <v>1637</v>
      </c>
    </row>
    <row r="1679" spans="1:5" ht="42" x14ac:dyDescent="0.2">
      <c r="A1679" s="2" t="s">
        <v>1636</v>
      </c>
      <c r="B1679" s="2" t="str">
        <f>HYPERLINK("https://www.sanluisobispo.com/news/nation-world/national/article288458287.html")</f>
        <v>https://www.sanluisobispo.com/news/nation-world/national/article288458287.html</v>
      </c>
      <c r="C1679" s="2" t="s">
        <v>2451</v>
      </c>
      <c r="D1679" s="3">
        <v>45423.166666666657</v>
      </c>
      <c r="E1679" s="2" t="s">
        <v>1637</v>
      </c>
    </row>
    <row r="1680" spans="1:5" ht="42" x14ac:dyDescent="0.2">
      <c r="A1680" s="2" t="s">
        <v>1636</v>
      </c>
      <c r="B1680" s="2" t="str">
        <f>HYPERLINK("https://www.bellinghamherald.com/news/nation-world/national/article288458287.html")</f>
        <v>https://www.bellinghamherald.com/news/nation-world/national/article288458287.html</v>
      </c>
      <c r="C1680" s="2" t="s">
        <v>2439</v>
      </c>
      <c r="D1680" s="3">
        <v>45423.166666666657</v>
      </c>
      <c r="E1680" s="2" t="s">
        <v>1637</v>
      </c>
    </row>
    <row r="1681" spans="1:5" ht="42" x14ac:dyDescent="0.2">
      <c r="A1681" s="2" t="s">
        <v>1636</v>
      </c>
      <c r="B1681" s="2" t="str">
        <f>HYPERLINK("https://www.theolympian.com/news/nation-world/national/article288458287.html")</f>
        <v>https://www.theolympian.com/news/nation-world/national/article288458287.html</v>
      </c>
      <c r="C1681" s="2" t="s">
        <v>2262</v>
      </c>
      <c r="D1681" s="3">
        <v>45423.166666666657</v>
      </c>
      <c r="E1681" s="2" t="s">
        <v>1637</v>
      </c>
    </row>
    <row r="1682" spans="1:5" ht="42" x14ac:dyDescent="0.2">
      <c r="A1682" s="2" t="s">
        <v>1636</v>
      </c>
      <c r="B1682" s="2" t="str">
        <f>HYPERLINK("https://www.kansas.com/news/nation-world/national/article288458287.html")</f>
        <v>https://www.kansas.com/news/nation-world/national/article288458287.html</v>
      </c>
      <c r="C1682" s="2" t="s">
        <v>2561</v>
      </c>
      <c r="D1682" s="3">
        <v>45423.166666666657</v>
      </c>
      <c r="E1682" s="2" t="s">
        <v>1637</v>
      </c>
    </row>
    <row r="1683" spans="1:5" ht="42" x14ac:dyDescent="0.2">
      <c r="A1683" s="2" t="s">
        <v>1636</v>
      </c>
      <c r="B1683" s="2" t="str">
        <f>HYPERLINK("https://www.thenewstribune.com/news/nation-world/national/article288458287.html")</f>
        <v>https://www.thenewstribune.com/news/nation-world/national/article288458287.html</v>
      </c>
      <c r="C1683" s="2" t="s">
        <v>2645</v>
      </c>
      <c r="D1683" s="3">
        <v>45423.166666666657</v>
      </c>
      <c r="E1683" s="2" t="s">
        <v>1637</v>
      </c>
    </row>
    <row r="1684" spans="1:5" ht="42" x14ac:dyDescent="0.2">
      <c r="A1684" s="2" t="s">
        <v>1636</v>
      </c>
      <c r="B1684" s="2" t="str">
        <f>HYPERLINK("https://www.idahostatesman.com/news/nation-world/national/article288458287.html")</f>
        <v>https://www.idahostatesman.com/news/nation-world/national/article288458287.html</v>
      </c>
      <c r="C1684" s="2" t="s">
        <v>2707</v>
      </c>
      <c r="D1684" s="3">
        <v>45423.166666666657</v>
      </c>
      <c r="E1684" s="2" t="s">
        <v>1637</v>
      </c>
    </row>
    <row r="1685" spans="1:5" ht="42" x14ac:dyDescent="0.2">
      <c r="A1685" s="2" t="s">
        <v>1636</v>
      </c>
      <c r="B1685" s="2" t="str">
        <f>HYPERLINK("https://www.star-telegram.com/news/nation-world/national/article288458287.html")</f>
        <v>https://www.star-telegram.com/news/nation-world/national/article288458287.html</v>
      </c>
      <c r="C1685" s="2" t="s">
        <v>2878</v>
      </c>
      <c r="D1685" s="3">
        <v>45423.166666666657</v>
      </c>
      <c r="E1685" s="2" t="s">
        <v>1637</v>
      </c>
    </row>
    <row r="1686" spans="1:5" ht="42" x14ac:dyDescent="0.2">
      <c r="A1686" s="2" t="s">
        <v>1636</v>
      </c>
      <c r="B1686" s="2" t="str">
        <f>HYPERLINK("https://www.miamiherald.com/news/nation-world/national/article288458287.html")</f>
        <v>https://www.miamiherald.com/news/nation-world/national/article288458287.html</v>
      </c>
      <c r="C1686" s="2" t="s">
        <v>3376</v>
      </c>
      <c r="D1686" s="3">
        <v>45423.166666666657</v>
      </c>
      <c r="E1686" s="2" t="s">
        <v>1637</v>
      </c>
    </row>
    <row r="1687" spans="1:5" ht="42" x14ac:dyDescent="0.2">
      <c r="A1687" s="2" t="s">
        <v>1995</v>
      </c>
      <c r="B1687" s="2" t="str">
        <f>HYPERLINK("https://www.centredaily.com/news/nation-world/national/article288458287.html")</f>
        <v>https://www.centredaily.com/news/nation-world/national/article288458287.html</v>
      </c>
      <c r="C1687" s="2" t="s">
        <v>2248</v>
      </c>
      <c r="D1687" s="3">
        <v>45423.192256944443</v>
      </c>
      <c r="E1687" s="2" t="s">
        <v>1637</v>
      </c>
    </row>
    <row r="1688" spans="1:5" ht="42" x14ac:dyDescent="0.2">
      <c r="A1688" s="2" t="s">
        <v>1995</v>
      </c>
      <c r="B1688" s="2" t="str">
        <f>HYPERLINK("https://www.heraldonline.com/news/nation-world/national/article288458287.html")</f>
        <v>https://www.heraldonline.com/news/nation-world/national/article288458287.html</v>
      </c>
      <c r="C1688" s="2" t="s">
        <v>1996</v>
      </c>
      <c r="D1688" s="3">
        <v>45423.192384259259</v>
      </c>
      <c r="E1688" s="2" t="s">
        <v>1637</v>
      </c>
    </row>
    <row r="1689" spans="1:5" ht="42" x14ac:dyDescent="0.2">
      <c r="A1689" s="2" t="s">
        <v>1995</v>
      </c>
      <c r="B1689" s="2" t="str">
        <f>HYPERLINK("https://www.kentucky.com/news/nation-world/national/article288458287.html")</f>
        <v>https://www.kentucky.com/news/nation-world/national/article288458287.html</v>
      </c>
      <c r="C1689" s="2" t="s">
        <v>2724</v>
      </c>
      <c r="D1689" s="3">
        <v>45423.192407407398</v>
      </c>
      <c r="E1689" s="2" t="s">
        <v>1637</v>
      </c>
    </row>
    <row r="1690" spans="1:5" ht="42" x14ac:dyDescent="0.2">
      <c r="A1690" s="2" t="s">
        <v>1636</v>
      </c>
      <c r="B1690" s="2" t="str">
        <f>HYPERLINK("https://www.macon.com/news/nation-world/national/article288458287.html")</f>
        <v>https://www.macon.com/news/nation-world/national/article288458287.html</v>
      </c>
      <c r="C1690" s="2" t="s">
        <v>2289</v>
      </c>
      <c r="D1690" s="3">
        <v>45423.192418981482</v>
      </c>
      <c r="E1690" s="2" t="s">
        <v>1637</v>
      </c>
    </row>
    <row r="1691" spans="1:5" ht="42" x14ac:dyDescent="0.2">
      <c r="A1691" s="2" t="s">
        <v>1995</v>
      </c>
      <c r="B1691" s="2" t="str">
        <f>HYPERLINK("https://www.newsobserver.com/news/nation-world/national/article288458287.html")</f>
        <v>https://www.newsobserver.com/news/nation-world/national/article288458287.html</v>
      </c>
      <c r="C1691" s="2" t="s">
        <v>3049</v>
      </c>
      <c r="D1691" s="3">
        <v>45423.192418981482</v>
      </c>
      <c r="E1691" s="2" t="s">
        <v>1637</v>
      </c>
    </row>
    <row r="1692" spans="1:5" ht="42" x14ac:dyDescent="0.2">
      <c r="A1692" s="2" t="s">
        <v>1995</v>
      </c>
      <c r="B1692" s="2" t="str">
        <f>HYPERLINK("https://www.sunherald.com/news/nation-world/national/article288458287.html")</f>
        <v>https://www.sunherald.com/news/nation-world/national/article288458287.html</v>
      </c>
      <c r="C1692" s="2" t="s">
        <v>2440</v>
      </c>
      <c r="D1692" s="3">
        <v>45423.192430555559</v>
      </c>
      <c r="E1692" s="2" t="s">
        <v>1637</v>
      </c>
    </row>
    <row r="1693" spans="1:5" ht="42" x14ac:dyDescent="0.2">
      <c r="A1693" s="2" t="s">
        <v>1995</v>
      </c>
      <c r="B1693" s="2" t="str">
        <f>HYPERLINK("https://www.ledger-enquirer.com/news/nation-world/national/article288458287.html")</f>
        <v>https://www.ledger-enquirer.com/news/nation-world/national/article288458287.html</v>
      </c>
      <c r="C1693" s="2" t="s">
        <v>2153</v>
      </c>
      <c r="D1693" s="3">
        <v>45423.192974537043</v>
      </c>
      <c r="E1693" s="2" t="s">
        <v>1637</v>
      </c>
    </row>
    <row r="1694" spans="1:5" ht="42" x14ac:dyDescent="0.2">
      <c r="A1694" s="2" t="s">
        <v>1995</v>
      </c>
      <c r="B1694" s="2" t="str">
        <f>HYPERLINK("https://www.charlotteobserver.com/news/nation-world/national/article288458287.html")</f>
        <v>https://www.charlotteobserver.com/news/nation-world/national/article288458287.html</v>
      </c>
      <c r="C1694" s="2" t="s">
        <v>2993</v>
      </c>
      <c r="D1694" s="3">
        <v>45423.193159722221</v>
      </c>
      <c r="E1694" s="2" t="s">
        <v>1637</v>
      </c>
    </row>
    <row r="1695" spans="1:5" ht="42" x14ac:dyDescent="0.2">
      <c r="A1695" s="2" t="s">
        <v>1995</v>
      </c>
      <c r="B1695" s="2" t="str">
        <f>HYPERLINK("https://www.bnd.com/news/nation-world/national/article288458287.html")</f>
        <v>https://www.bnd.com/news/nation-world/national/article288458287.html</v>
      </c>
      <c r="C1695" s="2" t="s">
        <v>2406</v>
      </c>
      <c r="D1695" s="3">
        <v>45423.194675925923</v>
      </c>
      <c r="E1695" s="2" t="s">
        <v>1637</v>
      </c>
    </row>
    <row r="1696" spans="1:5" ht="42" x14ac:dyDescent="0.2">
      <c r="A1696" s="2" t="s">
        <v>1995</v>
      </c>
      <c r="B1696" s="2" t="str">
        <f>HYPERLINK("https://www.kansascity.com/news/nation-world/national/article288458287.html")</f>
        <v>https://www.kansascity.com/news/nation-world/national/article288458287.html</v>
      </c>
      <c r="C1696" s="2" t="s">
        <v>3125</v>
      </c>
      <c r="D1696" s="3">
        <v>45423.194675925923</v>
      </c>
      <c r="E1696" s="2" t="s">
        <v>1637</v>
      </c>
    </row>
    <row r="1697" spans="1:5" ht="42" x14ac:dyDescent="0.2">
      <c r="A1697" s="2" t="s">
        <v>1995</v>
      </c>
      <c r="B1697" s="2" t="str">
        <f>HYPERLINK("https://www.mercedsunstar.com/news/nation-world/national/article288458287.html")</f>
        <v>https://www.mercedsunstar.com/news/nation-world/national/article288458287.html</v>
      </c>
      <c r="C1697" s="2" t="s">
        <v>2396</v>
      </c>
      <c r="D1697" s="3">
        <v>45423.195729166669</v>
      </c>
      <c r="E1697" s="2" t="s">
        <v>1637</v>
      </c>
    </row>
    <row r="1698" spans="1:5" ht="42" x14ac:dyDescent="0.2">
      <c r="A1698" s="2" t="s">
        <v>1636</v>
      </c>
      <c r="B1698" s="2" t="str">
        <f>HYPERLINK("https://www.fresnobee.com/news/nation-world/national/article288458287.html")</f>
        <v>https://www.fresnobee.com/news/nation-world/national/article288458287.html</v>
      </c>
      <c r="C1698" s="2" t="s">
        <v>2447</v>
      </c>
      <c r="D1698" s="3">
        <v>45423.198182870372</v>
      </c>
      <c r="E1698" s="2" t="s">
        <v>1637</v>
      </c>
    </row>
    <row r="1699" spans="1:5" ht="98" x14ac:dyDescent="0.2">
      <c r="A1699" s="2" t="s">
        <v>428</v>
      </c>
      <c r="B1699" s="2" t="str">
        <f>HYPERLINK("https://www.armadanews.com/here-are-the-ultraprocessed-foods-you-most-need-to-avoid-according-to-a-30-year-study/")</f>
        <v>https://www.armadanews.com/here-are-the-ultraprocessed-foods-you-most-need-to-avoid-according-to-a-30-year-study/</v>
      </c>
      <c r="C1699" s="2" t="s">
        <v>429</v>
      </c>
      <c r="D1699" s="3">
        <v>45423.348680555559</v>
      </c>
      <c r="E1699" s="2" t="s">
        <v>102</v>
      </c>
    </row>
    <row r="1700" spans="1:5" ht="154" x14ac:dyDescent="0.2">
      <c r="A1700" s="2" t="s">
        <v>4095</v>
      </c>
      <c r="B1700" s="2" t="str">
        <f>HYPERLINK("http://www.usahrsh.com/news/bencandy.php?fid=9&amp;id=27908")</f>
        <v>http://www.usahrsh.com/news/bencandy.php?fid=9&amp;id=27908</v>
      </c>
      <c r="C1700" s="2" t="s">
        <v>4096</v>
      </c>
      <c r="D1700" s="3">
        <v>45423.382361111107</v>
      </c>
      <c r="E1700" s="2" t="s">
        <v>516</v>
      </c>
    </row>
    <row r="1701" spans="1:5" ht="70" x14ac:dyDescent="0.2">
      <c r="A1701" s="2" t="s">
        <v>3793</v>
      </c>
      <c r="B1701" s="2" t="str">
        <f>HYPERLINK("https://www.ntdvn.net/thuc-pham-sieu-che-bien-co-lien-quan-den-tu-vong-som-nhung-thuc-pham-can-tranh-532543.html")</f>
        <v>https://www.ntdvn.net/thuc-pham-sieu-che-bien-co-lien-quan-den-tu-vong-som-nhung-thuc-pham-can-tranh-532543.html</v>
      </c>
      <c r="C1701" s="2" t="s">
        <v>3794</v>
      </c>
      <c r="D1701" s="3">
        <v>45423.474039351851</v>
      </c>
      <c r="E1701" s="2" t="s">
        <v>3795</v>
      </c>
    </row>
    <row r="1702" spans="1:5" ht="70" x14ac:dyDescent="0.2">
      <c r="A1702" s="2" t="s">
        <v>1717</v>
      </c>
      <c r="B1702" s="2" t="str">
        <f>HYPERLINK("https://noticiasdel6.com/descubri-cuales-son-los-6-terminos-enganosos-en-las-etiquetas-de-los-alimentos-y-su-significado-real/")</f>
        <v>https://noticiasdel6.com/descubri-cuales-son-los-6-terminos-enganosos-en-las-etiquetas-de-los-alimentos-y-su-significado-real/</v>
      </c>
      <c r="C1702" s="2" t="s">
        <v>1718</v>
      </c>
      <c r="D1702" s="3">
        <v>45423.760717592602</v>
      </c>
      <c r="E1702" s="2" t="s">
        <v>1719</v>
      </c>
    </row>
    <row r="1703" spans="1:5" ht="168" x14ac:dyDescent="0.2">
      <c r="A1703" s="2" t="s">
        <v>2205</v>
      </c>
      <c r="B1703" s="2" t="str">
        <f>HYPERLINK("https://info.vanpeople.com/1561997.html")</f>
        <v>https://info.vanpeople.com/1561997.html</v>
      </c>
      <c r="C1703" s="2" t="s">
        <v>2206</v>
      </c>
      <c r="D1703" s="3">
        <v>45424</v>
      </c>
      <c r="E1703" s="2" t="s">
        <v>2207</v>
      </c>
    </row>
    <row r="1704" spans="1:5" ht="84" x14ac:dyDescent="0.2">
      <c r="A1704" s="2" t="s">
        <v>2734</v>
      </c>
      <c r="B1704" s="2" t="str">
        <f>HYPERLINK("https://www.nguoi-viet.com/doi-song/suc-khoe/nghien-cuu-dai-30-nam-chi-ra-cac-thuc-an-dong-hop-can-tranh/")</f>
        <v>https://www.nguoi-viet.com/doi-song/suc-khoe/nghien-cuu-dai-30-nam-chi-ra-cac-thuc-an-dong-hop-can-tranh/</v>
      </c>
      <c r="C1704" s="2" t="s">
        <v>2735</v>
      </c>
      <c r="D1704" s="3">
        <v>45424.408750000002</v>
      </c>
      <c r="E1704" s="2" t="s">
        <v>2736</v>
      </c>
    </row>
    <row r="1705" spans="1:5" ht="98" x14ac:dyDescent="0.2">
      <c r="A1705" s="2" t="s">
        <v>95</v>
      </c>
      <c r="B1705" s="2" t="str">
        <f>HYPERLINK("https://newszetu.com/just-how-bad-are-ultraprocessed-foods-here-are-5-things-to-know/")</f>
        <v>https://newszetu.com/just-how-bad-are-ultraprocessed-foods-here-are-5-things-to-know/</v>
      </c>
      <c r="C1705" s="2" t="s">
        <v>373</v>
      </c>
      <c r="D1705" s="3">
        <v>45425</v>
      </c>
      <c r="E1705" s="2" t="s">
        <v>374</v>
      </c>
    </row>
    <row r="1706" spans="1:5" ht="56" x14ac:dyDescent="0.2">
      <c r="A1706" s="2" t="s">
        <v>289</v>
      </c>
      <c r="B1706" s="2" t="str">
        <f>HYPERLINK("https://tittlepress.com/health/3109556/")</f>
        <v>https://tittlepress.com/health/3109556/</v>
      </c>
      <c r="C1706" s="2" t="s">
        <v>379</v>
      </c>
      <c r="D1706" s="3">
        <v>45425</v>
      </c>
      <c r="E1706" s="2" t="s">
        <v>290</v>
      </c>
    </row>
    <row r="1707" spans="1:5" ht="98" x14ac:dyDescent="0.2">
      <c r="A1707" s="2" t="s">
        <v>95</v>
      </c>
      <c r="B1707" s="2" t="str">
        <f>HYPERLINK("https://www.ktbs.com/news/health/just-how-bad-are-ultraprocessed-foods-here-are-5-things-to-know/article_67d2ee1e-7a74-5038-8388-43cf71426743.html")</f>
        <v>https://www.ktbs.com/news/health/just-how-bad-are-ultraprocessed-foods-here-are-5-things-to-know/article_67d2ee1e-7a74-5038-8388-43cf71426743.html</v>
      </c>
      <c r="C1707" s="2" t="s">
        <v>2216</v>
      </c>
      <c r="D1707" s="3">
        <v>45425</v>
      </c>
      <c r="E1707" s="2" t="s">
        <v>1664</v>
      </c>
    </row>
    <row r="1708" spans="1:5" ht="98" x14ac:dyDescent="0.2">
      <c r="A1708" s="2" t="s">
        <v>95</v>
      </c>
      <c r="B1708" s="2" t="str">
        <f>HYPERLINK("https://www.news8000.com/lifestyle/health/just-how-bad-are-ultraprocessed-foods-here-are-5-things-to-know/article_f2e5aa87-7c3b-5a3d-a70e-476f0b7042d7.html")</f>
        <v>https://www.news8000.com/lifestyle/health/just-how-bad-are-ultraprocessed-foods-here-are-5-things-to-know/article_f2e5aa87-7c3b-5a3d-a70e-476f0b7042d7.html</v>
      </c>
      <c r="C1708" s="2" t="s">
        <v>2192</v>
      </c>
      <c r="D1708" s="3">
        <v>45425</v>
      </c>
      <c r="E1708" s="2" t="s">
        <v>1664</v>
      </c>
    </row>
    <row r="1709" spans="1:5" ht="98" x14ac:dyDescent="0.2">
      <c r="A1709" s="2" t="s">
        <v>95</v>
      </c>
      <c r="B1709" s="2" t="str">
        <f>HYPERLINK("https://www.aol.com/news/just-bad-ultraprocessed-foods-5-103122981.html")</f>
        <v>https://www.aol.com/news/just-bad-ultraprocessed-foods-5-103122981.html</v>
      </c>
      <c r="C1709" s="2" t="s">
        <v>3592</v>
      </c>
      <c r="D1709" s="3">
        <v>45425.271782407413</v>
      </c>
      <c r="E1709" s="2" t="s">
        <v>1664</v>
      </c>
    </row>
    <row r="1710" spans="1:5" ht="98" x14ac:dyDescent="0.2">
      <c r="A1710" s="2" t="s">
        <v>95</v>
      </c>
      <c r="B1710" s="2" t="str">
        <f>HYPERLINK("https://www.yahoo.com/lifestyle/just-bad-ultraprocessed-foods-5-103122760.html")</f>
        <v>https://www.yahoo.com/lifestyle/just-bad-ultraprocessed-foods-5-103122760.html</v>
      </c>
      <c r="C1710" s="2" t="s">
        <v>3726</v>
      </c>
      <c r="D1710" s="3">
        <v>45425.271782407413</v>
      </c>
      <c r="E1710" s="2" t="s">
        <v>1664</v>
      </c>
    </row>
    <row r="1711" spans="1:5" ht="70" x14ac:dyDescent="0.2">
      <c r="A1711" s="2" t="s">
        <v>1636</v>
      </c>
      <c r="B1711" s="2" t="str">
        <f>HYPERLINK("https://www.unionleader.com/30-year-study-ultraprocessed-foods-increase-risk-of-death-by-any-cause/article_7b8826ae-0fea-11ef-9590-c7f3ee4a49bc.html")</f>
        <v>https://www.unionleader.com/30-year-study-ultraprocessed-foods-increase-risk-of-death-by-any-cause/article_7b8826ae-0fea-11ef-9590-c7f3ee4a49bc.html</v>
      </c>
      <c r="C1711" s="2" t="s">
        <v>2489</v>
      </c>
      <c r="D1711" s="3">
        <v>45425.274004629631</v>
      </c>
      <c r="E1711" s="2" t="s">
        <v>1637</v>
      </c>
    </row>
    <row r="1712" spans="1:5" ht="98" x14ac:dyDescent="0.2">
      <c r="A1712" s="2" t="s">
        <v>95</v>
      </c>
      <c r="B1712" s="2" t="str">
        <f>HYPERLINK("https://keyt.com/health/cnn-health/2024/05/13/just-how-bad-are-ultraprocessed-foods-here-are-5-things-to-know/")</f>
        <v>https://keyt.com/health/cnn-health/2024/05/13/just-how-bad-are-ultraprocessed-foods-here-are-5-things-to-know/</v>
      </c>
      <c r="C1712" s="2" t="s">
        <v>2330</v>
      </c>
      <c r="D1712" s="3">
        <v>45425.276898148149</v>
      </c>
      <c r="E1712" s="2" t="s">
        <v>1664</v>
      </c>
    </row>
    <row r="1713" spans="1:5" ht="98" x14ac:dyDescent="0.2">
      <c r="A1713" s="2" t="s">
        <v>95</v>
      </c>
      <c r="B1713" s="2" t="str">
        <f>HYPERLINK("https://www.cnn.com/2024/05/13/health/ultraprocessed-food-bad-health-wellness/index.html")</f>
        <v>https://www.cnn.com/2024/05/13/health/ultraprocessed-food-bad-health-wellness/index.html</v>
      </c>
      <c r="C1713" s="2" t="s">
        <v>3705</v>
      </c>
      <c r="D1713" s="3">
        <v>45425.276921296303</v>
      </c>
      <c r="E1713" s="2" t="s">
        <v>1664</v>
      </c>
    </row>
    <row r="1714" spans="1:5" ht="84" x14ac:dyDescent="0.2">
      <c r="A1714" s="2" t="s">
        <v>95</v>
      </c>
      <c r="B1714" s="2" t="str">
        <f>HYPERLINK("https://headtopics.com/us/just-how-bad-are-ultraprocessed-foods-here-are-5-things-to-52471661")</f>
        <v>https://headtopics.com/us/just-how-bad-are-ultraprocessed-foods-here-are-5-things-to-52471661</v>
      </c>
      <c r="C1714" s="2" t="s">
        <v>2534</v>
      </c>
      <c r="D1714" s="3">
        <v>45425.281944444447</v>
      </c>
      <c r="E1714" s="2" t="s">
        <v>2650</v>
      </c>
    </row>
    <row r="1715" spans="1:5" ht="98" x14ac:dyDescent="0.2">
      <c r="A1715" s="2" t="s">
        <v>95</v>
      </c>
      <c r="B1715" s="2" t="str">
        <f>HYPERLINK("https://ktvz.com/health/cnn-health/2024/05/13/just-how-bad-are-ultraprocessed-foods-here-are-5-things-to-know/")</f>
        <v>https://ktvz.com/health/cnn-health/2024/05/13/just-how-bad-are-ultraprocessed-foods-here-are-5-things-to-know/</v>
      </c>
      <c r="C1715" s="2" t="s">
        <v>2747</v>
      </c>
      <c r="D1715" s="3">
        <v>45425.282523148147</v>
      </c>
      <c r="E1715" s="2" t="s">
        <v>1664</v>
      </c>
    </row>
    <row r="1716" spans="1:5" ht="98" x14ac:dyDescent="0.2">
      <c r="A1716" s="2" t="s">
        <v>95</v>
      </c>
      <c r="B1716" s="2" t="str">
        <f>HYPERLINK("https://www.crossroadstoday.com/news/health/just-how-bad-are-ultraprocessed-foods-here-are-5-things-to-know/article_060d1200-7342-5da2-9858-a80aaf4ecc93.html")</f>
        <v>https://www.crossroadstoday.com/news/health/just-how-bad-are-ultraprocessed-foods-here-are-5-things-to-know/article_060d1200-7342-5da2-9858-a80aaf4ecc93.html</v>
      </c>
      <c r="C1716" s="2" t="s">
        <v>1821</v>
      </c>
      <c r="D1716" s="3">
        <v>45425.28496527778</v>
      </c>
      <c r="E1716" s="2" t="s">
        <v>1664</v>
      </c>
    </row>
    <row r="1717" spans="1:5" ht="98" x14ac:dyDescent="0.2">
      <c r="A1717" s="2" t="s">
        <v>95</v>
      </c>
      <c r="B1717" s="2" t="str">
        <f>HYPERLINK("https://www.koamnewsnow.com/news/health/just-how-bad-are-ultraprocessed-foods-here-are-5-things-to-know/article_f6313826-6466-5c33-a823-7a0f39f4724c.html")</f>
        <v>https://www.koamnewsnow.com/news/health/just-how-bad-are-ultraprocessed-foods-here-are-5-things-to-know/article_f6313826-6466-5c33-a823-7a0f39f4724c.html</v>
      </c>
      <c r="C1717" s="2" t="s">
        <v>2024</v>
      </c>
      <c r="D1717" s="3">
        <v>45425.285428240742</v>
      </c>
      <c r="E1717" s="2" t="s">
        <v>1664</v>
      </c>
    </row>
    <row r="1718" spans="1:5" ht="98" x14ac:dyDescent="0.2">
      <c r="A1718" s="2" t="s">
        <v>95</v>
      </c>
      <c r="B1718" s="2" t="str">
        <f>HYPERLINK("https://www.wsiltv.com/news/health/just-how-bad-are-ultraprocessed-foods-here-are-5-things-to-know/article_5c31b0e4-5721-5e05-9b3d-6f3bd7148215.html")</f>
        <v>https://www.wsiltv.com/news/health/just-how-bad-are-ultraprocessed-foods-here-are-5-things-to-know/article_5c31b0e4-5721-5e05-9b3d-6f3bd7148215.html</v>
      </c>
      <c r="C1718" s="2" t="s">
        <v>2232</v>
      </c>
      <c r="D1718" s="3">
        <v>45425.28638888889</v>
      </c>
      <c r="E1718" s="2" t="s">
        <v>1664</v>
      </c>
    </row>
    <row r="1719" spans="1:5" ht="98" x14ac:dyDescent="0.2">
      <c r="A1719" s="2" t="s">
        <v>95</v>
      </c>
      <c r="B1719" s="2" t="str">
        <f>HYPERLINK("https://abc17news.com/cnn-health/2024/05/13/just-how-bad-are-ultraprocessed-foods-here-are-5-things-to-know/")</f>
        <v>https://abc17news.com/cnn-health/2024/05/13/just-how-bad-are-ultraprocessed-foods-here-are-5-things-to-know/</v>
      </c>
      <c r="C1719" s="2" t="s">
        <v>2484</v>
      </c>
      <c r="D1719" s="3">
        <v>45425.286759259259</v>
      </c>
      <c r="E1719" s="2" t="s">
        <v>1664</v>
      </c>
    </row>
    <row r="1720" spans="1:5" ht="98" x14ac:dyDescent="0.2">
      <c r="A1720" s="2" t="s">
        <v>95</v>
      </c>
      <c r="B1720" s="2" t="str">
        <f>HYPERLINK("https://kesq.com/health/cnn-health/2024/05/13/just-how-bad-are-ultraprocessed-foods-here-are-5-things-to-know/")</f>
        <v>https://kesq.com/health/cnn-health/2024/05/13/just-how-bad-are-ultraprocessed-foods-here-are-5-things-to-know/</v>
      </c>
      <c r="C1720" s="2" t="s">
        <v>2448</v>
      </c>
      <c r="D1720" s="3">
        <v>45425.290034722217</v>
      </c>
      <c r="E1720" s="2" t="s">
        <v>1664</v>
      </c>
    </row>
    <row r="1721" spans="1:5" ht="98" x14ac:dyDescent="0.2">
      <c r="A1721" s="2" t="s">
        <v>95</v>
      </c>
      <c r="B1721" s="2" t="str">
        <f>HYPERLINK("https://www.wevv.com/news/health/just-how-bad-are-ultraprocessed-foods-here-are-5-things-to-know/article_1e259938-4d17-59ea-b317-9383e819b9c4.html")</f>
        <v>https://www.wevv.com/news/health/just-how-bad-are-ultraprocessed-foods-here-are-5-things-to-know/article_1e259938-4d17-59ea-b317-9383e819b9c4.html</v>
      </c>
      <c r="C1721" s="2" t="s">
        <v>1926</v>
      </c>
      <c r="D1721" s="3">
        <v>45425.293993055559</v>
      </c>
      <c r="E1721" s="2" t="s">
        <v>1664</v>
      </c>
    </row>
    <row r="1722" spans="1:5" ht="56" x14ac:dyDescent="0.2">
      <c r="A1722" s="2" t="s">
        <v>95</v>
      </c>
      <c r="B1722" s="2" t="str">
        <f>HYPERLINK("https://www.ctvnews.ca/lifestyle/just-how-bad-are-ultraprocessed-foods-here-are-5-things-to-know-1.6884430")</f>
        <v>https://www.ctvnews.ca/lifestyle/just-how-bad-are-ultraprocessed-foods-here-are-5-things-to-know-1.6884430</v>
      </c>
      <c r="C1722" s="2" t="s">
        <v>3442</v>
      </c>
      <c r="D1722" s="3">
        <v>45425.300578703696</v>
      </c>
      <c r="E1722" s="2" t="s">
        <v>290</v>
      </c>
    </row>
    <row r="1723" spans="1:5" ht="56" x14ac:dyDescent="0.2">
      <c r="A1723" s="2" t="s">
        <v>289</v>
      </c>
      <c r="B1723" s="2" t="str">
        <f>HYPERLINK("https://newsconcerns.com/ultraprocessed-foods-what-are-they-and-why-are-they-bad/")</f>
        <v>https://newsconcerns.com/ultraprocessed-foods-what-are-they-and-why-are-they-bad/</v>
      </c>
      <c r="C1723" s="2" t="s">
        <v>625</v>
      </c>
      <c r="D1723" s="3">
        <v>45425.303078703713</v>
      </c>
      <c r="E1723" s="2" t="s">
        <v>290</v>
      </c>
    </row>
    <row r="1724" spans="1:5" ht="70" x14ac:dyDescent="0.2">
      <c r="A1724" s="2" t="s">
        <v>95</v>
      </c>
      <c r="B1724" s="2" t="str">
        <f>HYPERLINK("https://beatlyzer.com/just-how-bad-are-ultraprocessed-foods-here-are-5-things-to-know-908812.html")</f>
        <v>https://beatlyzer.com/just-how-bad-are-ultraprocessed-foods-here-are-5-things-to-know-908812.html</v>
      </c>
      <c r="C1724" s="2" t="s">
        <v>84</v>
      </c>
      <c r="D1724" s="3">
        <v>45425.304085648153</v>
      </c>
      <c r="E1724" s="2" t="s">
        <v>96</v>
      </c>
    </row>
    <row r="1725" spans="1:5" ht="56" x14ac:dyDescent="0.2">
      <c r="A1725" s="2" t="s">
        <v>289</v>
      </c>
      <c r="B1725" s="2" t="str">
        <f>HYPERLINK("http://swifttelecast.com/ultraprocessed-foods-what-are-they-and-why-are-they-bad/")</f>
        <v>http://swifttelecast.com/ultraprocessed-foods-what-are-they-and-why-are-they-bad/</v>
      </c>
      <c r="C1725" s="2" t="s">
        <v>283</v>
      </c>
      <c r="D1725" s="3">
        <v>45425.307581018518</v>
      </c>
      <c r="E1725" s="2" t="s">
        <v>290</v>
      </c>
    </row>
    <row r="1726" spans="1:5" ht="98" x14ac:dyDescent="0.2">
      <c r="A1726" s="2" t="s">
        <v>1956</v>
      </c>
      <c r="B1726" s="2" t="str">
        <f>HYPERLINK("https://kion546.com/health/cnn-health/2024/05/13/just-how-bad-are-ultraprocessed-foods-here-are-5-things-to-know/")</f>
        <v>https://kion546.com/health/cnn-health/2024/05/13/just-how-bad-are-ultraprocessed-foods-here-are-5-things-to-know/</v>
      </c>
      <c r="C1726" s="2" t="s">
        <v>1955</v>
      </c>
      <c r="D1726" s="3">
        <v>45425.312106481477</v>
      </c>
      <c r="E1726" s="2" t="s">
        <v>1664</v>
      </c>
    </row>
    <row r="1727" spans="1:5" ht="70" x14ac:dyDescent="0.2">
      <c r="A1727" s="2" t="s">
        <v>133</v>
      </c>
      <c r="B1727" s="2" t="str">
        <f>HYPERLINK("https://newsnetdaily.com/how-bad-are-ultra-processed-foods-here-are-5-things-to-know/")</f>
        <v>https://newsnetdaily.com/how-bad-are-ultra-processed-foods-here-are-5-things-to-know/</v>
      </c>
      <c r="C1727" s="2" t="s">
        <v>6</v>
      </c>
      <c r="D1727" s="3">
        <v>45425.318495370368</v>
      </c>
      <c r="E1727" s="2" t="s">
        <v>134</v>
      </c>
    </row>
    <row r="1728" spans="1:5" ht="98" x14ac:dyDescent="0.2">
      <c r="A1728" s="2" t="s">
        <v>2225</v>
      </c>
      <c r="B1728" s="2" t="str">
        <f>HYPERLINK("https://localnews8.com/health/cnn-health/2024/05/13/just-how-bad-are-ultraprocessed-foods-here-are-5-things-to-know/")</f>
        <v>https://localnews8.com/health/cnn-health/2024/05/13/just-how-bad-are-ultraprocessed-foods-here-are-5-things-to-know/</v>
      </c>
      <c r="C1728" s="2" t="s">
        <v>2164</v>
      </c>
      <c r="D1728" s="3">
        <v>45425.323923611111</v>
      </c>
      <c r="E1728" s="2" t="s">
        <v>1664</v>
      </c>
    </row>
    <row r="1729" spans="1:5" ht="98" x14ac:dyDescent="0.2">
      <c r="A1729" s="2" t="s">
        <v>95</v>
      </c>
      <c r="B1729" s="2" t="str">
        <f>HYPERLINK("https://krdo.com/news/2024/05/13/just-how-bad-are-ultraprocessed-foods-here-are-5-things-to-know/")</f>
        <v>https://krdo.com/news/2024/05/13/just-how-bad-are-ultraprocessed-foods-here-are-5-things-to-know/</v>
      </c>
      <c r="C1729" s="2" t="s">
        <v>2558</v>
      </c>
      <c r="D1729" s="3">
        <v>45425.324155092603</v>
      </c>
      <c r="E1729" s="2" t="s">
        <v>1664</v>
      </c>
    </row>
    <row r="1730" spans="1:5" ht="56" x14ac:dyDescent="0.2">
      <c r="A1730" s="2" t="s">
        <v>1033</v>
      </c>
      <c r="B1730" s="2" t="str">
        <f>HYPERLINK("https://exbulletin.com/world/health/2697627/")</f>
        <v>https://exbulletin.com/world/health/2697627/</v>
      </c>
      <c r="C1730" s="2" t="s">
        <v>1034</v>
      </c>
      <c r="D1730" s="3">
        <v>45425.330555555563</v>
      </c>
      <c r="E1730" s="2" t="s">
        <v>1035</v>
      </c>
    </row>
    <row r="1731" spans="1:5" ht="126" x14ac:dyDescent="0.2">
      <c r="A1731" s="2" t="s">
        <v>416</v>
      </c>
      <c r="B1731" s="2" t="str">
        <f>HYPERLINK("https://pressnewsagency.org/just-how-bad-are-ultraprocessed-foods-here-are-5-things-to-know-cnn/")</f>
        <v>https://pressnewsagency.org/just-how-bad-are-ultraprocessed-foods-here-are-5-things-to-know-cnn/</v>
      </c>
      <c r="C1731" s="2" t="s">
        <v>394</v>
      </c>
      <c r="D1731" s="3">
        <v>45425.335451388892</v>
      </c>
      <c r="E1731" s="2" t="s">
        <v>417</v>
      </c>
    </row>
    <row r="1732" spans="1:5" ht="98" x14ac:dyDescent="0.2">
      <c r="A1732" s="2" t="s">
        <v>95</v>
      </c>
      <c r="B1732" s="2" t="str">
        <f>HYPERLINK("https://ksltv.com/647415/just-how-bad-are-ultraprocessed-foods-here-are-5-things-to-know/")</f>
        <v>https://ksltv.com/647415/just-how-bad-are-ultraprocessed-foods-here-are-5-things-to-know/</v>
      </c>
      <c r="C1732" s="2" t="s">
        <v>2936</v>
      </c>
      <c r="D1732" s="3">
        <v>45425.338738425933</v>
      </c>
      <c r="E1732" s="2" t="s">
        <v>374</v>
      </c>
    </row>
    <row r="1733" spans="1:5" ht="56" x14ac:dyDescent="0.2">
      <c r="A1733" s="2" t="s">
        <v>95</v>
      </c>
      <c r="B1733" s="2" t="str">
        <f>HYPERLINK("https://dailyguardian.ca/just-how-bad-are-ultraprocessed-foods-here-are-5-things-to-know/")</f>
        <v>https://dailyguardian.ca/just-how-bad-are-ultraprocessed-foods-here-are-5-things-to-know/</v>
      </c>
      <c r="C1733" s="2" t="s">
        <v>532</v>
      </c>
      <c r="D1733" s="3">
        <v>45425.356192129628</v>
      </c>
      <c r="E1733" s="2" t="s">
        <v>290</v>
      </c>
    </row>
    <row r="1734" spans="1:5" ht="56" x14ac:dyDescent="0.2">
      <c r="A1734" s="2" t="s">
        <v>289</v>
      </c>
      <c r="B1734" s="2" t="str">
        <f>HYPERLINK("https://seculartimes.com/ultraprocessed-foods-what-are-they-and-why-are-they-bad/")</f>
        <v>https://seculartimes.com/ultraprocessed-foods-what-are-they-and-why-are-they-bad/</v>
      </c>
      <c r="C1734" s="2" t="s">
        <v>419</v>
      </c>
      <c r="D1734" s="3">
        <v>45425.369629629633</v>
      </c>
      <c r="E1734" s="2" t="s">
        <v>290</v>
      </c>
    </row>
    <row r="1735" spans="1:5" ht="70" x14ac:dyDescent="0.2">
      <c r="A1735" s="2" t="s">
        <v>3950</v>
      </c>
      <c r="B1735" s="2" t="str">
        <f>HYPERLINK("https://news.india24.press/health/148175.html")</f>
        <v>https://news.india24.press/health/148175.html</v>
      </c>
      <c r="C1735" s="2" t="s">
        <v>3914</v>
      </c>
      <c r="D1735" s="3">
        <v>45425.407106481478</v>
      </c>
      <c r="E1735" s="2" t="s">
        <v>3951</v>
      </c>
    </row>
    <row r="1736" spans="1:5" ht="98" x14ac:dyDescent="0.2">
      <c r="A1736" s="2" t="s">
        <v>95</v>
      </c>
      <c r="B1736" s="2" t="str">
        <f>HYPERLINK("https://www.applevalleynewsnow.com/news/health/just-how-bad-are-ultraprocessed-foods-here-are-5-things-to-know/article_7a0edf26-3773-54a5-a154-f8465d4e6aad.html")</f>
        <v>https://www.applevalleynewsnow.com/news/health/just-how-bad-are-ultraprocessed-foods-here-are-5-things-to-know/article_7a0edf26-3773-54a5-a154-f8465d4e6aad.html</v>
      </c>
      <c r="C1736" s="2" t="s">
        <v>1690</v>
      </c>
      <c r="D1736" s="3">
        <v>45425.407500000001</v>
      </c>
      <c r="E1736" s="2" t="s">
        <v>1664</v>
      </c>
    </row>
    <row r="1737" spans="1:5" ht="56" x14ac:dyDescent="0.2">
      <c r="A1737" s="2" t="s">
        <v>52</v>
      </c>
      <c r="B1737" s="2" t="str">
        <f>HYPERLINK("https://listindiario.com/la-vida/20240513/yogurt-reducir-riesgo-diabetes-tipo-2_808090.html")</f>
        <v>https://listindiario.com/la-vida/20240513/yogurt-reducir-riesgo-diabetes-tipo-2_808090.html</v>
      </c>
      <c r="C1737" s="2" t="s">
        <v>3032</v>
      </c>
      <c r="D1737" s="3">
        <v>45425.429594907408</v>
      </c>
      <c r="E1737" s="2" t="s">
        <v>982</v>
      </c>
    </row>
    <row r="1738" spans="1:5" ht="98" x14ac:dyDescent="0.2">
      <c r="A1738" s="2" t="s">
        <v>95</v>
      </c>
      <c r="B1738" s="2" t="str">
        <f>HYPERLINK("https://www.waaytv.com/news/health/just-how-bad-are-ultraprocessed-foods-here-are-5-things-to-know/article_9ccb2277-2e33-56eb-acd2-87ccbbe536aa.html")</f>
        <v>https://www.waaytv.com/news/health/just-how-bad-are-ultraprocessed-foods-here-are-5-things-to-know/article_9ccb2277-2e33-56eb-acd2-87ccbbe536aa.html</v>
      </c>
      <c r="C1738" s="2" t="s">
        <v>2278</v>
      </c>
      <c r="D1738" s="3">
        <v>45425.492372685178</v>
      </c>
      <c r="E1738" s="2" t="s">
        <v>1664</v>
      </c>
    </row>
    <row r="1739" spans="1:5" ht="98" x14ac:dyDescent="0.2">
      <c r="A1739" s="2" t="s">
        <v>95</v>
      </c>
      <c r="B1739" s="2" t="str">
        <f>HYPERLINK("https://www.waaytv.com/just-how-bad-are-ultraprocessed-foods-here-are-5-things-to-know/article_9ccb2277-2e33-56eb-acd2-87ccbbe536aa.html")</f>
        <v>https://www.waaytv.com/just-how-bad-are-ultraprocessed-foods-here-are-5-things-to-know/article_9ccb2277-2e33-56eb-acd2-87ccbbe536aa.html</v>
      </c>
      <c r="C1739" s="2" t="s">
        <v>2278</v>
      </c>
      <c r="D1739" s="3">
        <v>45425.493333333332</v>
      </c>
      <c r="E1739" s="2" t="s">
        <v>1664</v>
      </c>
    </row>
    <row r="1740" spans="1:5" ht="98" x14ac:dyDescent="0.2">
      <c r="A1740" s="2" t="s">
        <v>95</v>
      </c>
      <c r="B1740" s="2" t="str">
        <f>HYPERLINK("https://www.wxow.com/news/just-how-bad-are-ultraprocessed-foods-here-are-5-things-to-know/article_b894a596-a446-5f8a-9978-cf5a1392c4e6.html")</f>
        <v>https://www.wxow.com/news/just-how-bad-are-ultraprocessed-foods-here-are-5-things-to-know/article_b894a596-a446-5f8a-9978-cf5a1392c4e6.html</v>
      </c>
      <c r="C1740" s="2" t="s">
        <v>2107</v>
      </c>
      <c r="D1740" s="3">
        <v>45425.506180555552</v>
      </c>
      <c r="E1740" s="2" t="s">
        <v>1664</v>
      </c>
    </row>
    <row r="1741" spans="1:5" ht="98" x14ac:dyDescent="0.2">
      <c r="A1741" s="2" t="s">
        <v>95</v>
      </c>
      <c r="B1741" s="2" t="str">
        <f>HYPERLINK("https://news.lee.net/partners/cnn/just-how-bad-are-ultraprocessed-foods-here-are-5-things-to-know/article_ec033992-b419-56f1-846e-4169723b89da.html")</f>
        <v>https://news.lee.net/partners/cnn/just-how-bad-are-ultraprocessed-foods-here-are-5-things-to-know/article_ec033992-b419-56f1-846e-4169723b89da.html</v>
      </c>
      <c r="C1741" s="2" t="s">
        <v>1651</v>
      </c>
      <c r="D1741" s="3">
        <v>45425.521516203713</v>
      </c>
      <c r="E1741" s="2" t="s">
        <v>1664</v>
      </c>
    </row>
    <row r="1742" spans="1:5" ht="84" x14ac:dyDescent="0.2">
      <c r="A1742" s="2" t="s">
        <v>1199</v>
      </c>
      <c r="B1742" s="2" t="str">
        <f>HYPERLINK("https://www.fumara.gr/aytes-einai-oi-yper-epexergasmenes-trofes-poy-prepei-na-apofeygete-perissotero-symfona-me-meleti/")</f>
        <v>https://www.fumara.gr/aytes-einai-oi-yper-epexergasmenes-trofes-poy-prepei-na-apofeygete-perissotero-symfona-me-meleti/</v>
      </c>
      <c r="C1742" s="2" t="s">
        <v>1282</v>
      </c>
      <c r="D1742" s="3">
        <v>45425.721400462957</v>
      </c>
      <c r="E1742" s="2" t="s">
        <v>1201</v>
      </c>
    </row>
    <row r="1743" spans="1:5" ht="84" x14ac:dyDescent="0.2">
      <c r="A1743" s="2" t="s">
        <v>1077</v>
      </c>
      <c r="B1743" s="2" t="str">
        <f>HYPERLINK("https://www.metroworldnews.com/estilo-vida/2024/05/14/estudio-revela-cuales-son-los-alimentos-ultraprocesados-que-las-personas-deben-evitar/")</f>
        <v>https://www.metroworldnews.com/estilo-vida/2024/05/14/estudio-revela-cuales-son-los-alimentos-ultraprocesados-que-las-personas-deben-evitar/</v>
      </c>
      <c r="C1743" s="2" t="s">
        <v>1745</v>
      </c>
      <c r="D1743" s="3">
        <v>45425.952164351853</v>
      </c>
      <c r="E1743" s="2" t="s">
        <v>281</v>
      </c>
    </row>
    <row r="1744" spans="1:5" ht="84" x14ac:dyDescent="0.2">
      <c r="A1744" s="2" t="s">
        <v>1199</v>
      </c>
      <c r="B1744" s="2" t="str">
        <f>HYPERLINK("https://www.truelife.gr/aftes-einai-oi-yper-epeksergasmenes-trofes-pou-prepei-na-apofevgete-perissotero-symfona-me-meleti/")</f>
        <v>https://www.truelife.gr/aftes-einai-oi-yper-epeksergasmenes-trofes-pou-prepei-na-apofevgete-perissotero-symfona-me-meleti/</v>
      </c>
      <c r="C1744" s="2" t="s">
        <v>1200</v>
      </c>
      <c r="D1744" s="3">
        <v>45426.109907407408</v>
      </c>
      <c r="E1744" s="2" t="s">
        <v>1201</v>
      </c>
    </row>
    <row r="1745" spans="1:5" ht="98" x14ac:dyDescent="0.2">
      <c r="A1745" s="2" t="s">
        <v>95</v>
      </c>
      <c r="B1745" s="2" t="str">
        <f>HYPERLINK("https://www.wthitv.com/news/just-how-bad-are-ultraprocessed-foods-here-are-5-things-to-know/article_4289f6d9-f4e9-5d88-9ea9-524d3eb6c345.html")</f>
        <v>https://www.wthitv.com/news/just-how-bad-are-ultraprocessed-foods-here-are-5-things-to-know/article_4289f6d9-f4e9-5d88-9ea9-524d3eb6c345.html</v>
      </c>
      <c r="C1745" s="2" t="s">
        <v>2039</v>
      </c>
      <c r="D1745" s="3">
        <v>45426.116851851853</v>
      </c>
      <c r="E1745" s="2" t="s">
        <v>1664</v>
      </c>
    </row>
    <row r="1746" spans="1:5" ht="84" x14ac:dyDescent="0.2">
      <c r="A1746" s="2" t="s">
        <v>1077</v>
      </c>
      <c r="B1746" s="2" t="str">
        <f>HYPERLINK("https://www.sabrosia.pr/actualidad/2024/05/14/estudio-revela-cuales-son-los-alimentos-ultraprocesados-que-las-personas-deben-evitar/")</f>
        <v>https://www.sabrosia.pr/actualidad/2024/05/14/estudio-revela-cuales-son-los-alimentos-ultraprocesados-que-las-personas-deben-evitar/</v>
      </c>
      <c r="C1746" s="2" t="s">
        <v>3848</v>
      </c>
      <c r="D1746" s="3">
        <v>45426.117604166669</v>
      </c>
      <c r="E1746" s="2" t="s">
        <v>281</v>
      </c>
    </row>
    <row r="1747" spans="1:5" ht="98" x14ac:dyDescent="0.2">
      <c r="A1747" s="2" t="s">
        <v>95</v>
      </c>
      <c r="B1747" s="2" t="str">
        <f>HYPERLINK("https://www.kdrv.com/news/healthwatch/just-how-bad-are-ultraprocessed-foods-here-are-5-things-to-know/article_c4b20dd5-dfe5-5c99-a11b-83ee501b93bf.html")</f>
        <v>https://www.kdrv.com/news/healthwatch/just-how-bad-are-ultraprocessed-foods-here-are-5-things-to-know/article_c4b20dd5-dfe5-5c99-a11b-83ee501b93bf.html</v>
      </c>
      <c r="C1747" s="2" t="s">
        <v>2152</v>
      </c>
      <c r="D1747" s="3">
        <v>45426.120636574073</v>
      </c>
      <c r="E1747" s="2" t="s">
        <v>1664</v>
      </c>
    </row>
    <row r="1748" spans="1:5" ht="70" x14ac:dyDescent="0.2">
      <c r="A1748" s="2" t="s">
        <v>685</v>
      </c>
      <c r="B1748" s="2" t="str">
        <f>HYPERLINK("https://www.trinitymirror.net/news/yogurt-reduces-type-2-diabetes-risks/")</f>
        <v>https://www.trinitymirror.net/news/yogurt-reduces-type-2-diabetes-risks/</v>
      </c>
      <c r="C1748" s="2" t="s">
        <v>686</v>
      </c>
      <c r="D1748" s="3">
        <v>45426.121469907397</v>
      </c>
      <c r="E1748" s="2" t="s">
        <v>687</v>
      </c>
    </row>
    <row r="1749" spans="1:5" ht="42" x14ac:dyDescent="0.2">
      <c r="A1749" s="2" t="s">
        <v>1999</v>
      </c>
      <c r="B1749" s="2" t="str">
        <f>HYPERLINK("https://www.newstribune.com/news/2024/may/14/can-yogurt-reduce-the-risk-of-type-2-diabetes/")</f>
        <v>https://www.newstribune.com/news/2024/may/14/can-yogurt-reduce-the-risk-of-type-2-diabetes/</v>
      </c>
      <c r="C1749" s="2" t="s">
        <v>2000</v>
      </c>
      <c r="D1749" s="3">
        <v>45426.208333333343</v>
      </c>
      <c r="E1749" s="2" t="s">
        <v>549</v>
      </c>
    </row>
    <row r="1750" spans="1:5" ht="56" x14ac:dyDescent="0.2">
      <c r="A1750" s="2" t="s">
        <v>4149</v>
      </c>
      <c r="B1750" s="2" t="str">
        <f>HYPERLINK("https://teleradioamerica.com/2024/05/puede-el-yogur-reducir-el-riesgo-de-diabetes-tipo-2/")</f>
        <v>https://teleradioamerica.com/2024/05/puede-el-yogur-reducir-el-riesgo-de-diabetes-tipo-2/</v>
      </c>
      <c r="C1750" s="2" t="s">
        <v>4150</v>
      </c>
      <c r="D1750" s="3">
        <v>45426.294027777767</v>
      </c>
      <c r="E1750" s="2" t="s">
        <v>4151</v>
      </c>
    </row>
    <row r="1751" spans="1:5" ht="84" x14ac:dyDescent="0.2">
      <c r="A1751" s="2" t="s">
        <v>1077</v>
      </c>
      <c r="B1751" s="2" t="str">
        <f>HYPERLINK("https://www.publimetro.cl/estilo-vida/2024/05/14/estudio-revela-cuales-son-los-alimentos-ultraprocesados-que-las-personas-deben-evitar/")</f>
        <v>https://www.publimetro.cl/estilo-vida/2024/05/14/estudio-revela-cuales-son-los-alimentos-ultraprocesados-que-las-personas-deben-evitar/</v>
      </c>
      <c r="C1751" s="2" t="s">
        <v>3085</v>
      </c>
      <c r="D1751" s="3">
        <v>45426.402557870373</v>
      </c>
      <c r="E1751" s="2" t="s">
        <v>281</v>
      </c>
    </row>
    <row r="1752" spans="1:5" ht="84" x14ac:dyDescent="0.2">
      <c r="A1752" s="2" t="s">
        <v>1077</v>
      </c>
      <c r="B1752" s="2" t="str">
        <f>HYPERLINK("https://newsexplorer.net/z/99243.html")</f>
        <v>https://newsexplorer.net/z/99243.html</v>
      </c>
      <c r="C1752" s="2" t="s">
        <v>1067</v>
      </c>
      <c r="D1752" s="3">
        <v>45426.428622685176</v>
      </c>
      <c r="E1752" s="2" t="s">
        <v>281</v>
      </c>
    </row>
    <row r="1753" spans="1:5" ht="84" x14ac:dyDescent="0.2">
      <c r="A1753" s="2" t="s">
        <v>2147</v>
      </c>
      <c r="B1753" s="2" t="str">
        <f>HYPERLINK("https://www.cnnbrasil.com.br/saude/5-fatos-sobre-alimentos-ultraprocessados-que-voce-deve-saber/")</f>
        <v>https://www.cnnbrasil.com.br/saude/5-fatos-sobre-alimentos-ultraprocessados-que-voce-deve-saber/</v>
      </c>
      <c r="C1753" s="2" t="s">
        <v>3627</v>
      </c>
      <c r="D1753" s="3">
        <v>45426.444212962961</v>
      </c>
      <c r="E1753" s="2" t="s">
        <v>1862</v>
      </c>
    </row>
    <row r="1754" spans="1:5" ht="84" x14ac:dyDescent="0.2">
      <c r="A1754" s="2" t="s">
        <v>2147</v>
      </c>
      <c r="B1754" s="2" t="str">
        <f>HYPERLINK("https://jornalfloripa.com.br/geral/ler/612202")</f>
        <v>https://jornalfloripa.com.br/geral/ler/612202</v>
      </c>
      <c r="C1754" s="2" t="s">
        <v>2148</v>
      </c>
      <c r="D1754" s="3">
        <v>45426.444409722222</v>
      </c>
      <c r="E1754" s="2" t="s">
        <v>1862</v>
      </c>
    </row>
    <row r="1755" spans="1:5" ht="56" x14ac:dyDescent="0.2">
      <c r="A1755" s="2" t="s">
        <v>52</v>
      </c>
      <c r="B1755" s="2" t="str">
        <f>HYPERLINK("https://larevistadiaria.com/el-yogurt-puede-reducir-el-riesgo-de-diabetes-tipo-2/")</f>
        <v>https://larevistadiaria.com/el-yogurt-puede-reducir-el-riesgo-de-diabetes-tipo-2/</v>
      </c>
      <c r="C1755" s="2" t="s">
        <v>53</v>
      </c>
      <c r="D1755" s="3">
        <v>45426.444895833331</v>
      </c>
      <c r="E1755" s="2" t="s">
        <v>54</v>
      </c>
    </row>
    <row r="1756" spans="1:5" ht="84" x14ac:dyDescent="0.2">
      <c r="A1756" s="2" t="s">
        <v>1860</v>
      </c>
      <c r="B1756" s="2" t="str">
        <f>HYPERLINK("https://rondonoticias.com.br/noticia/saude/122608/cinco-fatos-sobre-alimentos-ultraprocessados-que-voce-deve-saber")</f>
        <v>https://rondonoticias.com.br/noticia/saude/122608/cinco-fatos-sobre-alimentos-ultraprocessados-que-voce-deve-saber</v>
      </c>
      <c r="C1756" s="2" t="s">
        <v>1861</v>
      </c>
      <c r="D1756" s="3">
        <v>45426.464236111111</v>
      </c>
      <c r="E1756" s="2" t="s">
        <v>1862</v>
      </c>
    </row>
    <row r="1757" spans="1:5" ht="70" x14ac:dyDescent="0.2">
      <c r="A1757" s="2" t="s">
        <v>1741</v>
      </c>
      <c r="B1757" s="2" t="str">
        <f>HYPERLINK("https://www.miamitimesonline.com/lifestyles/health_wellness/fda-permits-yogurt-diabetes-risk-reduction-claim/article_46094bb4-1208-11ef-8464-a393e7575e18.html")</f>
        <v>https://www.miamitimesonline.com/lifestyles/health_wellness/fda-permits-yogurt-diabetes-risk-reduction-claim/article_46094bb4-1208-11ef-8464-a393e7575e18.html</v>
      </c>
      <c r="C1757" s="2" t="s">
        <v>1585</v>
      </c>
      <c r="D1757" s="3">
        <v>45426.511701388888</v>
      </c>
      <c r="E1757" s="2" t="s">
        <v>70</v>
      </c>
    </row>
    <row r="1758" spans="1:5" ht="56" x14ac:dyDescent="0.2">
      <c r="A1758" s="2" t="s">
        <v>528</v>
      </c>
      <c r="B1758" s="2" t="str">
        <f>HYPERLINK("https://www.infobae.com/estados-unidos/2024/05/14/el-consumo-de-yogurt-estaria-vinculado-a-un-menor-riesgo-de-diabetes-segun-la-fda/")</f>
        <v>https://www.infobae.com/estados-unidos/2024/05/14/el-consumo-de-yogurt-estaria-vinculado-a-un-menor-riesgo-de-diabetes-segun-la-fda/</v>
      </c>
      <c r="C1758" s="2" t="s">
        <v>3689</v>
      </c>
      <c r="D1758" s="3">
        <v>45426.658738425933</v>
      </c>
      <c r="E1758" s="2" t="s">
        <v>1258</v>
      </c>
    </row>
    <row r="1759" spans="1:5" ht="42" x14ac:dyDescent="0.2">
      <c r="A1759" s="2" t="s">
        <v>528</v>
      </c>
      <c r="B1759" s="2" t="str">
        <f>HYPERLINK("https://lado.mx/noticia.php?id=15868659")</f>
        <v>https://lado.mx/noticia.php?id=15868659</v>
      </c>
      <c r="C1759" s="2" t="s">
        <v>1599</v>
      </c>
      <c r="D1759" s="3">
        <v>45426.67260416667</v>
      </c>
      <c r="E1759" s="2" t="s">
        <v>1258</v>
      </c>
    </row>
    <row r="1760" spans="1:5" ht="56" x14ac:dyDescent="0.2">
      <c r="A1760" s="2" t="s">
        <v>528</v>
      </c>
      <c r="B1760" s="2" t="str">
        <f>HYPERLINK("https://elnoticierodigital.com.ar/2024/05/14/el-consumo-de-yogurt-estaria-vinculado-a-un-menor-riesgo-de-diabetes-segun-la-fda/")</f>
        <v>https://elnoticierodigital.com.ar/2024/05/14/el-consumo-de-yogurt-estaria-vinculado-a-un-menor-riesgo-de-diabetes-segun-la-fda/</v>
      </c>
      <c r="C1760" s="2" t="s">
        <v>1256</v>
      </c>
      <c r="D1760" s="3">
        <v>45426.710173611107</v>
      </c>
      <c r="E1760" s="2" t="s">
        <v>1258</v>
      </c>
    </row>
    <row r="1761" spans="1:5" ht="140" x14ac:dyDescent="0.2">
      <c r="A1761" s="2" t="s">
        <v>2713</v>
      </c>
      <c r="B1761" s="2" t="str">
        <f>HYPERLINK("https://www.antpedia.com/news/42/n-3168242.html")</f>
        <v>https://www.antpedia.com/news/42/n-3168242.html</v>
      </c>
      <c r="C1761" s="2" t="s">
        <v>2714</v>
      </c>
      <c r="D1761" s="3">
        <v>45426.740636574083</v>
      </c>
      <c r="E1761" s="2" t="s">
        <v>2208</v>
      </c>
    </row>
    <row r="1762" spans="1:5" ht="56" x14ac:dyDescent="0.2">
      <c r="A1762" s="2" t="s">
        <v>528</v>
      </c>
      <c r="B1762" s="2" t="str">
        <f>HYPERLINK("https://cn38.info/2024/05/15/el-consumo-de-yogurt-estaria-vinculado-a-un-menor-riesgo-de-diabetes-segun-la-fda/")</f>
        <v>https://cn38.info/2024/05/15/el-consumo-de-yogurt-estaria-vinculado-a-un-menor-riesgo-de-diabetes-segun-la-fda/</v>
      </c>
      <c r="C1762" s="2" t="s">
        <v>529</v>
      </c>
      <c r="D1762" s="3">
        <v>45427</v>
      </c>
      <c r="E1762" s="2" t="s">
        <v>530</v>
      </c>
    </row>
    <row r="1763" spans="1:5" ht="56" x14ac:dyDescent="0.2">
      <c r="A1763" s="2" t="s">
        <v>528</v>
      </c>
      <c r="B1763" s="2" t="str">
        <f>HYPERLINK("https://chacoprensa.com/2024/05/15/el-consumo-de-yogurt-estaria-vinculado-a-un-menor-riesgo-de-diabetes-segun-la-fda/")</f>
        <v>https://chacoprensa.com/2024/05/15/el-consumo-de-yogurt-estaria-vinculado-a-un-menor-riesgo-de-diabetes-segun-la-fda/</v>
      </c>
      <c r="C1763" s="2" t="s">
        <v>948</v>
      </c>
      <c r="D1763" s="3">
        <v>45427</v>
      </c>
      <c r="E1763" s="2" t="s">
        <v>530</v>
      </c>
    </row>
    <row r="1764" spans="1:5" ht="56" x14ac:dyDescent="0.2">
      <c r="A1764" s="2" t="s">
        <v>528</v>
      </c>
      <c r="B1764" s="2" t="str">
        <f>HYPERLINK("https://jnn-digital.blogspot.com/2024/05/el-consumo-de-yogurt-estaria-vinculado.html")</f>
        <v>https://jnn-digital.blogspot.com/2024/05/el-consumo-de-yogurt-estaria-vinculado.html</v>
      </c>
      <c r="C1764" s="2" t="s">
        <v>3979</v>
      </c>
      <c r="D1764" s="3">
        <v>45427.019444444442</v>
      </c>
      <c r="E1764" s="2" t="s">
        <v>1258</v>
      </c>
    </row>
    <row r="1765" spans="1:5" ht="42" x14ac:dyDescent="0.2">
      <c r="A1765" s="2" t="s">
        <v>715</v>
      </c>
      <c r="B1765" s="2" t="str">
        <f>HYPERLINK("https://www.quienopina.com/consumo-de-yogurt-estaria-vinculado-a-menor-riesgo-de-diabetes-segun-la-fda/")</f>
        <v>https://www.quienopina.com/consumo-de-yogurt-estaria-vinculado-a-menor-riesgo-de-diabetes-segun-la-fda/</v>
      </c>
      <c r="C1765" s="2" t="s">
        <v>716</v>
      </c>
      <c r="D1765" s="3">
        <v>45427.174097222232</v>
      </c>
      <c r="E1765" s="2" t="s">
        <v>530</v>
      </c>
    </row>
    <row r="1766" spans="1:5" ht="84" x14ac:dyDescent="0.2">
      <c r="A1766" s="2" t="s">
        <v>2147</v>
      </c>
      <c r="B1766" s="2" t="str">
        <f>HYPERLINK("https://tudoaovivo.com.br/5-fatos-sobre-alimentos-ultraprocessados-que-voce-deve-saber/")</f>
        <v>https://tudoaovivo.com.br/5-fatos-sobre-alimentos-ultraprocessados-que-voce-deve-saber/</v>
      </c>
      <c r="C1766" s="2" t="s">
        <v>4190</v>
      </c>
      <c r="D1766" s="3">
        <v>45427.217905092592</v>
      </c>
      <c r="E1766" s="2" t="s">
        <v>1862</v>
      </c>
    </row>
    <row r="1767" spans="1:5" ht="56" x14ac:dyDescent="0.2">
      <c r="A1767" s="2" t="s">
        <v>528</v>
      </c>
      <c r="B1767" s="2" t="str">
        <f>HYPERLINK("https://radioclanfm.com/2024/05/15/el-consumo-de-yogurt-estaria-vinculado-a-un-menor-riesgo-de-diabetes-segun-la-fda/")</f>
        <v>https://radioclanfm.com/2024/05/15/el-consumo-de-yogurt-estaria-vinculado-a-un-menor-riesgo-de-diabetes-segun-la-fda/</v>
      </c>
      <c r="C1767" s="2" t="s">
        <v>859</v>
      </c>
      <c r="D1767" s="3">
        <v>45427.317372685182</v>
      </c>
      <c r="E1767" s="2" t="s">
        <v>530</v>
      </c>
    </row>
    <row r="1768" spans="1:5" ht="56" x14ac:dyDescent="0.2">
      <c r="A1768" s="2" t="s">
        <v>3276</v>
      </c>
      <c r="B1768" s="2" t="str">
        <f>HYPERLINK("https://www.telemundo.com/shows/al-rojo-vivo/salud/permitiran-que-etiquetas-afirmen-que-el-yogur-podria-prevenir-diabetes-rcna150959")</f>
        <v>https://www.telemundo.com/shows/al-rojo-vivo/salud/permitiran-que-etiquetas-afirmen-que-el-yogur-podria-prevenir-diabetes-rcna150959</v>
      </c>
      <c r="C1768" s="2" t="s">
        <v>3277</v>
      </c>
      <c r="D1768" s="3">
        <v>45427.637349537043</v>
      </c>
      <c r="E1768" s="2" t="s">
        <v>683</v>
      </c>
    </row>
    <row r="1769" spans="1:5" ht="70" x14ac:dyDescent="0.2">
      <c r="A1769" s="2" t="s">
        <v>2354</v>
      </c>
      <c r="B1769" s="2" t="str">
        <f>HYPERLINK("https://www.ntd.com/here-are-the-ultraprocessed-foods-you-most-need-to-avoid-according-to-a-30-year-study_991684.html")</f>
        <v>https://www.ntd.com/here-are-the-ultraprocessed-foods-you-most-need-to-avoid-according-to-a-30-year-study_991684.html</v>
      </c>
      <c r="C1769" s="2" t="s">
        <v>2355</v>
      </c>
      <c r="D1769" s="3">
        <v>45427.968333333331</v>
      </c>
      <c r="E1769" s="2" t="s">
        <v>2356</v>
      </c>
    </row>
    <row r="1770" spans="1:5" ht="42" x14ac:dyDescent="0.2">
      <c r="A1770" s="2" t="s">
        <v>1523</v>
      </c>
      <c r="B1770" s="2" t="str">
        <f>HYPERLINK("https://www.times.si/a/ab88896dac20527c8c6bd8508ac6ab5ca225c08f/")</f>
        <v>https://www.times.si/a/ab88896dac20527c8c6bd8508ac6ab5ca225c08f/</v>
      </c>
      <c r="C1770" s="2" t="s">
        <v>1521</v>
      </c>
      <c r="D1770" s="3">
        <v>45428</v>
      </c>
      <c r="E1770" s="2" t="s">
        <v>1524</v>
      </c>
    </row>
    <row r="1771" spans="1:5" ht="42" x14ac:dyDescent="0.2">
      <c r="A1771" s="2" t="s">
        <v>1523</v>
      </c>
      <c r="B1771" s="2" t="str">
        <f>HYPERLINK("https://aktivni.metropolitan.si/prehrana/dolgozivost-pica-procesirana-hrana-studija-aditivi-sladke-pijace/")</f>
        <v>https://aktivni.metropolitan.si/prehrana/dolgozivost-pica-procesirana-hrana-studija-aditivi-sladke-pijace/</v>
      </c>
      <c r="C1771" s="2" t="s">
        <v>2968</v>
      </c>
      <c r="D1771" s="3">
        <v>45428</v>
      </c>
      <c r="E1771" s="2" t="s">
        <v>1524</v>
      </c>
    </row>
    <row r="1772" spans="1:5" ht="98" x14ac:dyDescent="0.2">
      <c r="A1772" s="2" t="s">
        <v>3245</v>
      </c>
      <c r="B1772" s="2" t="str">
        <f>HYPERLINK("https://learningenglish.voanews.com/a/us-agency-permits-qualified-health-claim-for-yogurt/7610501.html")</f>
        <v>https://learningenglish.voanews.com/a/us-agency-permits-qualified-health-claim-for-yogurt/7610501.html</v>
      </c>
      <c r="C1772" s="2" t="s">
        <v>3210</v>
      </c>
      <c r="D1772" s="3">
        <v>45428.746527777781</v>
      </c>
      <c r="E1772" s="2" t="s">
        <v>3246</v>
      </c>
    </row>
    <row r="1773" spans="1:5" ht="56" x14ac:dyDescent="0.2">
      <c r="A1773" s="2" t="s">
        <v>2908</v>
      </c>
      <c r="B1773" s="2" t="str">
        <f>HYPERLINK("https://mondo.rs/Magazin/Zdravlje/a1928049/koje-bolesti-izaziva-ultrapreradjena-hrana.html")</f>
        <v>https://mondo.rs/Magazin/Zdravlje/a1928049/koje-bolesti-izaziva-ultrapreradjena-hrana.html</v>
      </c>
      <c r="C1773" s="2" t="s">
        <v>3396</v>
      </c>
      <c r="D1773" s="3">
        <v>45429.280856481477</v>
      </c>
      <c r="E1773" s="2" t="s">
        <v>2755</v>
      </c>
    </row>
    <row r="1774" spans="1:5" ht="56" x14ac:dyDescent="0.2">
      <c r="A1774" s="2" t="s">
        <v>2908</v>
      </c>
      <c r="B1774" s="2" t="str">
        <f>HYPERLINK("https://nsuzivo.rs/zivot/5-bolesti-koje-moze-da-izazove-ultrapreradjena-hrana-za-neke-namirnice-i-ne-znate-da-su-lose-jedna-se-izdvaja")</f>
        <v>https://nsuzivo.rs/zivot/5-bolesti-koje-moze-da-izazove-ultrapreradjena-hrana-za-neke-namirnice-i-ne-znate-da-su-lose-jedna-se-izdvaja</v>
      </c>
      <c r="C1774" s="2" t="s">
        <v>2909</v>
      </c>
      <c r="D1774" s="3">
        <v>45429.289386574077</v>
      </c>
      <c r="E1774" s="2" t="s">
        <v>2910</v>
      </c>
    </row>
    <row r="1775" spans="1:5" ht="56" x14ac:dyDescent="0.2">
      <c r="A1775" s="2" t="s">
        <v>1213</v>
      </c>
      <c r="B1775" s="2" t="str">
        <f>HYPERLINK("https://mondo.ba/Magazin/Zdravlje/a1298290/sta-izaziva-preradjena-hrana.html")</f>
        <v>https://mondo.ba/Magazin/Zdravlje/a1298290/sta-izaziva-preradjena-hrana.html</v>
      </c>
      <c r="C1775" s="2" t="s">
        <v>2754</v>
      </c>
      <c r="D1775" s="3">
        <v>45429.432546296302</v>
      </c>
      <c r="E1775" s="2" t="s">
        <v>2755</v>
      </c>
    </row>
    <row r="1776" spans="1:5" ht="56" x14ac:dyDescent="0.2">
      <c r="A1776" s="2" t="s">
        <v>3756</v>
      </c>
      <c r="B1776" s="2" t="str">
        <f>HYPERLINK("https://www.blink.ba/pet-bolesti-koje-moze-izazvati-ultrapreradjena-hrana/")</f>
        <v>https://www.blink.ba/pet-bolesti-koje-moze-izazvati-ultrapreradjena-hrana/</v>
      </c>
      <c r="C1776" s="2" t="s">
        <v>3757</v>
      </c>
      <c r="D1776" s="3">
        <v>45429.66679398148</v>
      </c>
      <c r="E1776" s="2" t="s">
        <v>3758</v>
      </c>
    </row>
    <row r="1777" spans="1:5" ht="84" x14ac:dyDescent="0.2">
      <c r="A1777" s="2" t="s">
        <v>1073</v>
      </c>
      <c r="B1777" s="2" t="str">
        <f>HYPERLINK("https://newsexplorer.net/z/196964.html")</f>
        <v>https://newsexplorer.net/z/196964.html</v>
      </c>
      <c r="C1777" s="2" t="s">
        <v>1067</v>
      </c>
      <c r="D1777" s="3">
        <v>45430.257233796299</v>
      </c>
      <c r="E1777" s="2" t="s">
        <v>1074</v>
      </c>
    </row>
    <row r="1778" spans="1:5" ht="84" x14ac:dyDescent="0.2">
      <c r="A1778" s="2" t="s">
        <v>1073</v>
      </c>
      <c r="B1778" s="2" t="str">
        <f>HYPERLINK("https://vnexplorer.net/z/196964.html")</f>
        <v>https://vnexplorer.net/z/196964.html</v>
      </c>
      <c r="C1778" s="2" t="s">
        <v>1334</v>
      </c>
      <c r="D1778" s="3">
        <v>45430.257233796299</v>
      </c>
      <c r="E1778" s="2" t="s">
        <v>1074</v>
      </c>
    </row>
    <row r="1779" spans="1:5" ht="98" x14ac:dyDescent="0.2">
      <c r="A1779" s="2" t="s">
        <v>1073</v>
      </c>
      <c r="B1779" s="2" t="str">
        <f>HYPERLINK("https://cnnportugal.iol.pt/alimentacao/alimentos-ultraprocessados/estes-sao-os-alimentos-ultraprocessados-que-deve-evitar-de-acordo-com-um-estudo-realizado-ao-longo-de-30-anos/20240518/663e0624d34ebf9bbb3d5f39")</f>
        <v>https://cnnportugal.iol.pt/alimentacao/alimentos-ultraprocessados/estes-sao-os-alimentos-ultraprocessados-que-deve-evitar-de-acordo-com-um-estudo-realizado-ao-longo-de-30-anos/20240518/663e0624d34ebf9bbb3d5f39</v>
      </c>
      <c r="C1779" s="2" t="s">
        <v>3087</v>
      </c>
      <c r="D1779" s="3">
        <v>45430.290798611109</v>
      </c>
      <c r="E1779" s="2" t="s">
        <v>1074</v>
      </c>
    </row>
    <row r="1780" spans="1:5" ht="70" x14ac:dyDescent="0.2">
      <c r="A1780" s="2" t="s">
        <v>1213</v>
      </c>
      <c r="B1780" s="2" t="str">
        <f>HYPERLINK("https://teslicdanas.net/index.php/magazin/zdravlje/pet-bolesti-koje-moze-da-izazove-ultrapreradena-hrana-za-neke-namirnice-i-ne-znate-da-su-lose-jedna-se-izdvaja")</f>
        <v>https://teslicdanas.net/index.php/magazin/zdravlje/pet-bolesti-koje-moze-da-izazove-ultrapreradena-hrana-za-neke-namirnice-i-ne-znate-da-su-lose-jedna-se-izdvaja</v>
      </c>
      <c r="C1780" s="2" t="s">
        <v>1214</v>
      </c>
      <c r="D1780" s="3">
        <v>45431.090150462973</v>
      </c>
      <c r="E1780" s="2" t="s">
        <v>1215</v>
      </c>
    </row>
    <row r="1781" spans="1:5" ht="98" x14ac:dyDescent="0.2">
      <c r="A1781" s="2" t="s">
        <v>101</v>
      </c>
      <c r="B1781" s="2" t="str">
        <f>HYPERLINK("https://www.wxow.com/news/health/here-are-the-ultraprocessed-foods-you-most-need-to-avoid-according-to-a-30-year/article_48b43260-811b-534b-9be7-e3808b0bcc30.html")</f>
        <v>https://www.wxow.com/news/health/here-are-the-ultraprocessed-foods-you-most-need-to-avoid-according-to-a-30-year/article_48b43260-811b-534b-9be7-e3808b0bcc30.html</v>
      </c>
      <c r="C1781" s="2" t="s">
        <v>2107</v>
      </c>
      <c r="D1781" s="3">
        <v>45431.314432870371</v>
      </c>
      <c r="E1781" s="2" t="s">
        <v>102</v>
      </c>
    </row>
    <row r="1782" spans="1:5" ht="112" x14ac:dyDescent="0.2">
      <c r="A1782" s="2" t="s">
        <v>2149</v>
      </c>
      <c r="B1782" s="2" t="str">
        <f>HYPERLINK("https://www.metroworldnews.com.br/estilo-vida/2024/05/19/estudo-revela-quais-sao-os-alimentos-ultraprocessados-que-as-pessoas-devem-evitar/")</f>
        <v>https://www.metroworldnews.com.br/estilo-vida/2024/05/19/estudo-revela-quais-sao-os-alimentos-ultraprocessados-que-as-pessoas-devem-evitar/</v>
      </c>
      <c r="C1782" s="2" t="s">
        <v>4076</v>
      </c>
      <c r="D1782" s="3">
        <v>45431.753472222219</v>
      </c>
      <c r="E1782" s="2" t="s">
        <v>2150</v>
      </c>
    </row>
    <row r="1783" spans="1:5" ht="112" x14ac:dyDescent="0.2">
      <c r="A1783" s="2" t="s">
        <v>2149</v>
      </c>
      <c r="B1783" s="2" t="str">
        <f>HYPERLINK("https://jornalfloripa.com.br/geral/ler/625256")</f>
        <v>https://jornalfloripa.com.br/geral/ler/625256</v>
      </c>
      <c r="C1783" s="2" t="s">
        <v>2148</v>
      </c>
      <c r="D1783" s="3">
        <v>45431.755960648137</v>
      </c>
      <c r="E1783" s="2" t="s">
        <v>2150</v>
      </c>
    </row>
    <row r="1784" spans="1:5" ht="332" x14ac:dyDescent="0.2">
      <c r="A1784" s="2" t="s">
        <v>2157</v>
      </c>
      <c r="B1784" s="2" t="str">
        <f>HYPERLINK("https://www.ediblecommunities.com/podcasts/marion-nestle-on-finding-the-truth-behind-food-industry-headlines/")</f>
        <v>https://www.ediblecommunities.com/podcasts/marion-nestle-on-finding-the-truth-behind-food-industry-headlines/</v>
      </c>
      <c r="C1784" s="2" t="s">
        <v>2158</v>
      </c>
      <c r="D1784" s="3">
        <v>45432.653703703712</v>
      </c>
      <c r="E1784" s="2" t="s">
        <v>2159</v>
      </c>
    </row>
    <row r="1785" spans="1:5" ht="84" x14ac:dyDescent="0.2">
      <c r="A1785" s="2" t="s">
        <v>920</v>
      </c>
      <c r="B1785" s="2" t="str">
        <f>HYPERLINK("https://piedepagina.mx/relaciones-peligrosas-los-vinculos-poco-transparentes-entre-la-industria-y-las-universidades/")</f>
        <v>https://piedepagina.mx/relaciones-peligrosas-los-vinculos-poco-transparentes-entre-la-industria-y-las-universidades/</v>
      </c>
      <c r="C1785" s="2" t="s">
        <v>2263</v>
      </c>
      <c r="D1785" s="3">
        <v>45433.084189814806</v>
      </c>
      <c r="E1785" s="2" t="s">
        <v>922</v>
      </c>
    </row>
    <row r="1786" spans="1:5" ht="84" x14ac:dyDescent="0.2">
      <c r="A1786" s="2" t="s">
        <v>3323</v>
      </c>
      <c r="B1786" s="2" t="str">
        <f>HYPERLINK("https://www.thestar.com.my/lifestyle/health/2024/05/21/ultra-processed-foods-increase-the-risk-of-death")</f>
        <v>https://www.thestar.com.my/lifestyle/health/2024/05/21/ultra-processed-foods-increase-the-risk-of-death</v>
      </c>
      <c r="C1786" s="2" t="s">
        <v>3324</v>
      </c>
      <c r="D1786" s="3">
        <v>45433.333333333343</v>
      </c>
      <c r="E1786" s="2" t="s">
        <v>3325</v>
      </c>
    </row>
    <row r="1787" spans="1:5" ht="98" x14ac:dyDescent="0.2">
      <c r="A1787" s="2" t="s">
        <v>852</v>
      </c>
      <c r="B1787" s="2" t="str">
        <f>HYPERLINK("https://snake.substack.com/p/why-our-brains-cant-comprehend-how")</f>
        <v>https://snake.substack.com/p/why-our-brains-cant-comprehend-how</v>
      </c>
      <c r="C1787" s="2" t="s">
        <v>853</v>
      </c>
      <c r="D1787" s="3">
        <v>45433.511770833327</v>
      </c>
      <c r="E1787" s="2" t="s">
        <v>854</v>
      </c>
    </row>
    <row r="1788" spans="1:5" ht="84" x14ac:dyDescent="0.2">
      <c r="A1788" s="2" t="s">
        <v>3386</v>
      </c>
      <c r="B1788" s="2" t="str">
        <f>HYPERLINK("https://www.kompasiana.com/agustinus98698/664d28d5de948f67032e3d42/dapur-yang-baik-bona-culina-menciptakan-kebiasaan-dan-disiplin-yang-baik-bona-disciplina")</f>
        <v>https://www.kompasiana.com/agustinus98698/664d28d5de948f67032e3d42/dapur-yang-baik-bona-culina-menciptakan-kebiasaan-dan-disiplin-yang-baik-bona-disciplina</v>
      </c>
      <c r="C1788" s="2" t="s">
        <v>3387</v>
      </c>
      <c r="D1788" s="3">
        <v>45433.795798611107</v>
      </c>
      <c r="E1788" s="2" t="s">
        <v>3388</v>
      </c>
    </row>
    <row r="1789" spans="1:5" ht="84" x14ac:dyDescent="0.2">
      <c r="A1789" s="2" t="s">
        <v>1407</v>
      </c>
      <c r="B1789" s="2" t="str">
        <f>HYPERLINK("https://wp.me/p8Z6Yg-mhT")</f>
        <v>https://wp.me/p8Z6Yg-mhT</v>
      </c>
      <c r="C1789" s="2" t="s">
        <v>3815</v>
      </c>
      <c r="D1789" s="3">
        <v>45433.802314814813</v>
      </c>
      <c r="E1789" s="2" t="s">
        <v>922</v>
      </c>
    </row>
    <row r="1790" spans="1:5" ht="84" x14ac:dyDescent="0.2">
      <c r="A1790" s="2" t="s">
        <v>1407</v>
      </c>
      <c r="B1790" s="2" t="str">
        <f>HYPERLINK("https://letrafria.com/relaciones-peligrosas-vinculos-poco-transparentes-entre-la-industria-y-las-universidades/")</f>
        <v>https://letrafria.com/relaciones-peligrosas-vinculos-poco-transparentes-entre-la-industria-y-las-universidades/</v>
      </c>
      <c r="C1790" s="2" t="s">
        <v>1408</v>
      </c>
      <c r="D1790" s="3">
        <v>45433.81354166667</v>
      </c>
      <c r="E1790" s="2" t="s">
        <v>922</v>
      </c>
    </row>
    <row r="1791" spans="1:5" ht="84" x14ac:dyDescent="0.2">
      <c r="A1791" s="2" t="s">
        <v>920</v>
      </c>
      <c r="B1791" s="2" t="str">
        <f>HYPERLINK("https://www.chiapasparalelo.com/noticias/2024/05/relaciones-peligrosas-los-vinculos-poco-transparentes-entre-la-industria-y-las-universidades/")</f>
        <v>https://www.chiapasparalelo.com/noticias/2024/05/relaciones-peligrosas-los-vinculos-poco-transparentes-entre-la-industria-y-las-universidades/</v>
      </c>
      <c r="C1791" s="2" t="s">
        <v>1570</v>
      </c>
      <c r="D1791" s="3">
        <v>45433.862303240741</v>
      </c>
      <c r="E1791" s="2" t="s">
        <v>922</v>
      </c>
    </row>
    <row r="1792" spans="1:5" ht="84" x14ac:dyDescent="0.2">
      <c r="A1792" s="2" t="s">
        <v>2463</v>
      </c>
      <c r="B1792" s="2" t="str">
        <f>HYPERLINK("https://julioastillero.com/relaciones-peligrosas-vinculos-poco-transparentes-entre-la-industria-y-las-universidades/")</f>
        <v>https://julioastillero.com/relaciones-peligrosas-vinculos-poco-transparentes-entre-la-industria-y-las-universidades/</v>
      </c>
      <c r="C1792" s="2" t="s">
        <v>2464</v>
      </c>
      <c r="D1792" s="3">
        <v>45433.928171296298</v>
      </c>
      <c r="E1792" s="2" t="s">
        <v>922</v>
      </c>
    </row>
    <row r="1793" spans="1:5" ht="126" x14ac:dyDescent="0.2">
      <c r="A1793" s="2" t="s">
        <v>3098</v>
      </c>
      <c r="B1793" s="2" t="str">
        <f>HYPERLINK("https://www.letemps.ch/economie/ozempic-wegovy-mounjaro-nestle-adapte-ses-produits-a-un-monde-qui-grignote-de-moins-en-moins")</f>
        <v>https://www.letemps.ch/economie/ozempic-wegovy-mounjaro-nestle-adapte-ses-produits-a-un-monde-qui-grignote-de-moins-en-moins</v>
      </c>
      <c r="C1793" s="2" t="s">
        <v>3099</v>
      </c>
      <c r="D1793" s="3">
        <v>45433.959305555552</v>
      </c>
      <c r="E1793" s="2" t="s">
        <v>3100</v>
      </c>
    </row>
    <row r="1794" spans="1:5" ht="84" x14ac:dyDescent="0.2">
      <c r="A1794" s="2" t="s">
        <v>920</v>
      </c>
      <c r="B1794" s="2" t="str">
        <f>HYPERLINK("https://laverdadjuarez.com/2024/05/22/relaciones-peligrosas-los-vinculos-poco-transparentes-entre-la-industria-y-las-universidades/")</f>
        <v>https://laverdadjuarez.com/2024/05/22/relaciones-peligrosas-los-vinculos-poco-transparentes-entre-la-industria-y-las-universidades/</v>
      </c>
      <c r="C1794" s="2" t="s">
        <v>1622</v>
      </c>
      <c r="D1794" s="3">
        <v>45434.296585648153</v>
      </c>
      <c r="E1794" s="2" t="s">
        <v>922</v>
      </c>
    </row>
    <row r="1795" spans="1:5" ht="42" x14ac:dyDescent="0.2">
      <c r="A1795" s="2" t="s">
        <v>71</v>
      </c>
      <c r="B1795" s="2" t="str">
        <f>HYPERLINK("https://bitebi.com/digging-into-farm-bill-proposals-is-public-health-possible/")</f>
        <v>https://bitebi.com/digging-into-farm-bill-proposals-is-public-health-possible/</v>
      </c>
      <c r="C1795" s="2" t="s">
        <v>15</v>
      </c>
      <c r="D1795" s="3">
        <v>45434.44771990741</v>
      </c>
      <c r="E1795" s="2" t="s">
        <v>25</v>
      </c>
    </row>
    <row r="1796" spans="1:5" ht="84" x14ac:dyDescent="0.2">
      <c r="A1796" s="2" t="s">
        <v>920</v>
      </c>
      <c r="B1796" s="2" t="str">
        <f>HYPERLINK("https://raichali.com/2024/05/22/vinculos-poco-transparentes-entre-industria-y-universidades/")</f>
        <v>https://raichali.com/2024/05/22/vinculos-poco-transparentes-entre-industria-y-universidades/</v>
      </c>
      <c r="C1796" s="2" t="s">
        <v>925</v>
      </c>
      <c r="D1796" s="3">
        <v>45434.478182870371</v>
      </c>
      <c r="E1796" s="2" t="s">
        <v>922</v>
      </c>
    </row>
    <row r="1797" spans="1:5" ht="84" x14ac:dyDescent="0.2">
      <c r="A1797" s="2" t="s">
        <v>2918</v>
      </c>
      <c r="B1797" s="2" t="str">
        <f>HYPERLINK("https://www.cdt.ch/news/i-farmaci-dimagranti-costringono-nestle-a-rivedere-le-ricette-dei-suoi-prodotti-352959")</f>
        <v>https://www.cdt.ch/news/i-farmaci-dimagranti-costringono-nestle-a-rivedere-le-ricette-dei-suoi-prodotti-352959</v>
      </c>
      <c r="C1797" s="2" t="s">
        <v>2919</v>
      </c>
      <c r="D1797" s="3">
        <v>45434.479166666657</v>
      </c>
      <c r="E1797" s="2" t="s">
        <v>2920</v>
      </c>
    </row>
    <row r="1798" spans="1:5" ht="84" x14ac:dyDescent="0.2">
      <c r="A1798" s="2" t="s">
        <v>1216</v>
      </c>
      <c r="B1798" s="2" t="str">
        <f>HYPERLINK("https://www.ladobe.com.mx/2024/05/relaciones-peligrosas-vinculos-poco-transparentes-entre-industria-y-universidades-ultraprocesados/")</f>
        <v>https://www.ladobe.com.mx/2024/05/relaciones-peligrosas-vinculos-poco-transparentes-entre-industria-y-universidades-ultraprocesados/</v>
      </c>
      <c r="C1798" s="2" t="s">
        <v>1217</v>
      </c>
      <c r="D1798" s="3">
        <v>45434.936620370368</v>
      </c>
      <c r="E1798" s="2" t="s">
        <v>922</v>
      </c>
    </row>
    <row r="1799" spans="1:5" ht="126" x14ac:dyDescent="0.2">
      <c r="A1799" s="2" t="s">
        <v>2960</v>
      </c>
      <c r="B1799" s="2" t="str">
        <f>HYPERLINK("https://www.ivoox.com/en/the-smart-human-with-dr-aly-cohen-fighting-audios-mp3_rf_129328815_1.html")</f>
        <v>https://www.ivoox.com/en/the-smart-human-with-dr-aly-cohen-fighting-audios-mp3_rf_129328815_1.html</v>
      </c>
      <c r="C1799" s="2" t="s">
        <v>2956</v>
      </c>
      <c r="D1799" s="3">
        <v>45435</v>
      </c>
      <c r="E1799" s="2" t="s">
        <v>2961</v>
      </c>
    </row>
    <row r="1800" spans="1:5" ht="84" x14ac:dyDescent="0.2">
      <c r="A1800" s="2" t="s">
        <v>3875</v>
      </c>
      <c r="B1800" s="2" t="str">
        <f>HYPERLINK("http://www.promarket.org/2024/05/23/food-for-thought/")</f>
        <v>http://www.promarket.org/2024/05/23/food-for-thought/</v>
      </c>
      <c r="C1800" s="2" t="s">
        <v>3876</v>
      </c>
      <c r="D1800" s="3">
        <v>45435.239583333343</v>
      </c>
      <c r="E1800" s="2" t="s">
        <v>3877</v>
      </c>
    </row>
    <row r="1801" spans="1:5" ht="28" x14ac:dyDescent="0.2">
      <c r="A1801" s="2" t="s">
        <v>2787</v>
      </c>
      <c r="B1801" s="2" t="str">
        <f>HYPERLINK("https://player.fm/episodes/419803060")</f>
        <v>https://player.fm/episodes/419803060</v>
      </c>
      <c r="C1801" s="2" t="s">
        <v>2788</v>
      </c>
      <c r="D1801" s="3">
        <v>45435.291666666657</v>
      </c>
      <c r="E1801" s="2"/>
    </row>
    <row r="1802" spans="1:5" ht="98" x14ac:dyDescent="0.2">
      <c r="A1802" s="2" t="s">
        <v>701</v>
      </c>
      <c r="B1802" s="2" t="str">
        <f>HYPERLINK("https://capitalisnt.com/episodes/the-big-money-behind-ultra-processed-foods-with-marion-nestle")</f>
        <v>https://capitalisnt.com/episodes/the-big-money-behind-ultra-processed-foods-with-marion-nestle</v>
      </c>
      <c r="C1802" s="2" t="s">
        <v>702</v>
      </c>
      <c r="D1802" s="3">
        <v>45435.386261574073</v>
      </c>
      <c r="E1802" s="2" t="s">
        <v>704</v>
      </c>
    </row>
    <row r="1803" spans="1:5" ht="56" x14ac:dyDescent="0.2">
      <c r="A1803" s="2" t="s">
        <v>143</v>
      </c>
      <c r="B1803" s="2" t="str">
        <f>HYPERLINK("https://www.phillytrib.com/news/health/can-yogurt-reduce-the-risk-of-type-2-diabetes/article_7e709f5e-24f0-5f11-83b7-9554e0e994f7.html")</f>
        <v>https://www.phillytrib.com/news/health/can-yogurt-reduce-the-risk-of-type-2-diabetes/article_7e709f5e-24f0-5f11-83b7-9554e0e994f7.html</v>
      </c>
      <c r="C1803" s="2" t="s">
        <v>2047</v>
      </c>
      <c r="D1803" s="3">
        <v>45436.401944444442</v>
      </c>
      <c r="E1803" s="2" t="s">
        <v>549</v>
      </c>
    </row>
    <row r="1804" spans="1:5" ht="98" x14ac:dyDescent="0.2">
      <c r="A1804" s="2" t="s">
        <v>4213</v>
      </c>
      <c r="B1804" s="2" t="str">
        <f>HYPERLINK("https://g4food.ro/care-sunt-alimentele-ultraprocesate-pe-care-trebuie-sa-le-eviti-cel-mai-mult-potrivit-unui-studiu-facut-de-a-lungul-a-30-de-ani/")</f>
        <v>https://g4food.ro/care-sunt-alimentele-ultraprocesate-pe-care-trebuie-sa-le-eviti-cel-mai-mult-potrivit-unui-studiu-facut-de-a-lungul-a-30-de-ani/</v>
      </c>
      <c r="C1804" s="2" t="s">
        <v>4214</v>
      </c>
      <c r="D1804" s="3">
        <v>45437.129155092603</v>
      </c>
      <c r="E1804" s="2" t="s">
        <v>4215</v>
      </c>
    </row>
    <row r="1805" spans="1:5" ht="112" x14ac:dyDescent="0.2">
      <c r="A1805" s="2" t="s">
        <v>3760</v>
      </c>
      <c r="B1805" s="2" t="str">
        <f>HYPERLINK("https://alba24.ro/ce-alimente-nu-ar-trebui-consumate-frecvent-si-ce-efecte-pot-avea-asupra-organismului-concluziile-unu-studiu-de-30-de-ani-1031942.html")</f>
        <v>https://alba24.ro/ce-alimente-nu-ar-trebui-consumate-frecvent-si-ce-efecte-pot-avea-asupra-organismului-concluziile-unu-studiu-de-30-de-ani-1031942.html</v>
      </c>
      <c r="C1805" s="2" t="s">
        <v>3761</v>
      </c>
      <c r="D1805" s="3">
        <v>45438.000034722223</v>
      </c>
      <c r="E1805" s="2" t="s">
        <v>3762</v>
      </c>
    </row>
    <row r="1806" spans="1:5" ht="84" x14ac:dyDescent="0.2">
      <c r="A1806" s="2" t="s">
        <v>920</v>
      </c>
      <c r="B1806" s="2" t="str">
        <f>HYPERLINK("https://sinfuero.com.mx/relaciones-peligrosas-los-vinculos-poco-transparentes-entre-la-industria-y-las-universidades/")</f>
        <v>https://sinfuero.com.mx/relaciones-peligrosas-los-vinculos-poco-transparentes-entre-la-industria-y-las-universidades/</v>
      </c>
      <c r="C1806" s="2" t="s">
        <v>921</v>
      </c>
      <c r="D1806" s="3">
        <v>45438.424733796302</v>
      </c>
      <c r="E1806" s="2" t="s">
        <v>922</v>
      </c>
    </row>
    <row r="1807" spans="1:5" ht="56" x14ac:dyDescent="0.2">
      <c r="A1807" s="2" t="s">
        <v>1785</v>
      </c>
      <c r="B1807" s="2" t="str">
        <f>HYPERLINK("https://www.ingredientsnetwork.com/usda-regulates-salmonella-in-chicken-product-news124530.html")</f>
        <v>https://www.ingredientsnetwork.com/usda-regulates-salmonella-in-chicken-product-news124530.html</v>
      </c>
      <c r="C1807" s="2" t="s">
        <v>1786</v>
      </c>
      <c r="D1807" s="3">
        <v>45438.757187499999</v>
      </c>
      <c r="E1807" s="2" t="s">
        <v>1787</v>
      </c>
    </row>
    <row r="1808" spans="1:5" ht="84" x14ac:dyDescent="0.2">
      <c r="A1808" s="2" t="s">
        <v>3378</v>
      </c>
      <c r="B1808" s="2" t="str">
        <f>HYPERLINK("https://www.vanityfair.it/article/cibi-ultraprocessati-che-e-meglio-evitare-secondo-30-anni-di-studi")</f>
        <v>https://www.vanityfair.it/article/cibi-ultraprocessati-che-e-meglio-evitare-secondo-30-anni-di-studi</v>
      </c>
      <c r="C1808" s="2" t="s">
        <v>3379</v>
      </c>
      <c r="D1808" s="3">
        <v>45438.784502314818</v>
      </c>
      <c r="E1808" s="2" t="s">
        <v>3380</v>
      </c>
    </row>
    <row r="1809" spans="1:5" ht="42" x14ac:dyDescent="0.2">
      <c r="A1809" s="2" t="s">
        <v>1636</v>
      </c>
      <c r="B1809" s="2" t="str">
        <f>HYPERLINK("https://www.telegraphherald.com/news/features/article_ec8baf3f-cb43-5c2c-b65d-e4e928d729b6.html")</f>
        <v>https://www.telegraphherald.com/news/features/article_ec8baf3f-cb43-5c2c-b65d-e4e928d729b6.html</v>
      </c>
      <c r="C1809" s="2" t="s">
        <v>2141</v>
      </c>
      <c r="D1809" s="3">
        <v>45439.0700462963</v>
      </c>
      <c r="E1809" s="2" t="s">
        <v>1637</v>
      </c>
    </row>
    <row r="1810" spans="1:5" ht="84" x14ac:dyDescent="0.2">
      <c r="A1810" s="2" t="s">
        <v>1544</v>
      </c>
      <c r="B1810" s="2" t="str">
        <f>HYPERLINK("https://www.publicnewsservice.org/2024-05-27/health/will-summer-heat-melt-new-mexicans-cravings-for-ice-cream/a90491-1")</f>
        <v>https://www.publicnewsservice.org/2024-05-27/health/will-summer-heat-melt-new-mexicans-cravings-for-ice-cream/a90491-1</v>
      </c>
      <c r="C1810" s="2" t="s">
        <v>1541</v>
      </c>
      <c r="D1810" s="3">
        <v>45439.083333333343</v>
      </c>
      <c r="E1810" s="2" t="s">
        <v>1542</v>
      </c>
    </row>
    <row r="1811" spans="1:5" ht="84" x14ac:dyDescent="0.2">
      <c r="A1811" s="2" t="s">
        <v>1546</v>
      </c>
      <c r="B1811" s="2" t="str">
        <f>HYPERLINK("https://www.publicnewsservice.org/2024-05-27/health/summer-safety-tips-for-ct-people-with-dementia-alzheimers/a90466-1")</f>
        <v>https://www.publicnewsservice.org/2024-05-27/health/summer-safety-tips-for-ct-people-with-dementia-alzheimers/a90466-1</v>
      </c>
      <c r="C1811" s="2" t="s">
        <v>1541</v>
      </c>
      <c r="D1811" s="3">
        <v>45439.083333333343</v>
      </c>
      <c r="E1811" s="2" t="s">
        <v>1542</v>
      </c>
    </row>
    <row r="1812" spans="1:5" ht="84" x14ac:dyDescent="0.2">
      <c r="A1812" s="2" t="s">
        <v>2514</v>
      </c>
      <c r="B1812" s="2" t="str">
        <f>HYPERLINK("https://www.chicagobooth.edu/review/capitalisnt-the-money-behind-ultraprocessed-foods")</f>
        <v>https://www.chicagobooth.edu/review/capitalisnt-the-money-behind-ultraprocessed-foods</v>
      </c>
      <c r="C1812" s="2" t="s">
        <v>2515</v>
      </c>
      <c r="D1812" s="3">
        <v>45440</v>
      </c>
      <c r="E1812" s="2" t="s">
        <v>2516</v>
      </c>
    </row>
    <row r="1813" spans="1:5" ht="84" x14ac:dyDescent="0.2">
      <c r="A1813" s="2" t="s">
        <v>1543</v>
      </c>
      <c r="B1813" s="2" t="str">
        <f>HYPERLINK("https://www.publicnewsservice.org/2024-05-28/health/ca-filmmaker-follows-her-parents-as-they-choose-medical-aid-in-dying/a90516-1")</f>
        <v>https://www.publicnewsservice.org/2024-05-28/health/ca-filmmaker-follows-her-parents-as-they-choose-medical-aid-in-dying/a90516-1</v>
      </c>
      <c r="C1813" s="2" t="s">
        <v>1541</v>
      </c>
      <c r="D1813" s="3">
        <v>45440.083333333343</v>
      </c>
      <c r="E1813" s="2" t="s">
        <v>1542</v>
      </c>
    </row>
    <row r="1814" spans="1:5" ht="84" x14ac:dyDescent="0.2">
      <c r="A1814" s="2" t="s">
        <v>1545</v>
      </c>
      <c r="B1814" s="2" t="str">
        <f>HYPERLINK("https://www.publicnewsservice.org/2024-05-28/health/filmmaker-documents-parents-last-moments-as-they-use-medical-aid-in-dying/a90520-1")</f>
        <v>https://www.publicnewsservice.org/2024-05-28/health/filmmaker-documents-parents-last-moments-as-they-use-medical-aid-in-dying/a90520-1</v>
      </c>
      <c r="C1814" s="2" t="s">
        <v>1541</v>
      </c>
      <c r="D1814" s="3">
        <v>45440.083333333343</v>
      </c>
      <c r="E1814" s="2" t="s">
        <v>1542</v>
      </c>
    </row>
    <row r="1815" spans="1:5" ht="84" x14ac:dyDescent="0.2">
      <c r="A1815" s="2" t="s">
        <v>1547</v>
      </c>
      <c r="B1815" s="2" t="str">
        <f>HYPERLINK("https://www.publicnewsservice.org/2024-05-28/health/cineasta-documenta-a-los-padres-mientras-utilizan-la-ayuda-m-dica-para-morir/a90525-1")</f>
        <v>https://www.publicnewsservice.org/2024-05-28/health/cineasta-documenta-a-los-padres-mientras-utilizan-la-ayuda-m-dica-para-morir/a90525-1</v>
      </c>
      <c r="C1815" s="2" t="s">
        <v>1541</v>
      </c>
      <c r="D1815" s="3">
        <v>45440.083333333343</v>
      </c>
      <c r="E1815" s="2" t="s">
        <v>1542</v>
      </c>
    </row>
    <row r="1816" spans="1:5" ht="84" x14ac:dyDescent="0.2">
      <c r="A1816" s="2" t="s">
        <v>1548</v>
      </c>
      <c r="B1816" s="2" t="str">
        <f>HYPERLINK("https://www.publicnewsservice.org/2024-05-28/health/cineasta-de-ca-sigue-a-sus-padres-mientras-eligen-ayuda-m-dica-para-morir/a90523-1")</f>
        <v>https://www.publicnewsservice.org/2024-05-28/health/cineasta-de-ca-sigue-a-sus-padres-mientras-eligen-ayuda-m-dica-para-morir/a90523-1</v>
      </c>
      <c r="C1816" s="2" t="s">
        <v>1541</v>
      </c>
      <c r="D1816" s="3">
        <v>45440.083333333343</v>
      </c>
      <c r="E1816" s="2" t="s">
        <v>1542</v>
      </c>
    </row>
    <row r="1817" spans="1:5" ht="70" x14ac:dyDescent="0.2">
      <c r="A1817" s="2" t="s">
        <v>212</v>
      </c>
      <c r="B1817" s="2" t="str">
        <f>HYPERLINK("https://todayschronic.com/junk-food-diet-in-teens-can-lead-to-poor-memory/")</f>
        <v>https://todayschronic.com/junk-food-diet-in-teens-can-lead-to-poor-memory/</v>
      </c>
      <c r="C1817" s="2" t="s">
        <v>524</v>
      </c>
      <c r="D1817" s="3">
        <v>45440.107511574082</v>
      </c>
      <c r="E1817" s="2" t="s">
        <v>553</v>
      </c>
    </row>
    <row r="1818" spans="1:5" ht="70" x14ac:dyDescent="0.2">
      <c r="A1818" s="2" t="s">
        <v>212</v>
      </c>
      <c r="B1818" s="2" t="str">
        <f>HYPERLINK("https://seculartimes.com/junk-food-diet-in-teens-can-lead-to-poor-memory/")</f>
        <v>https://seculartimes.com/junk-food-diet-in-teens-can-lead-to-poor-memory/</v>
      </c>
      <c r="C1818" s="2" t="s">
        <v>419</v>
      </c>
      <c r="D1818" s="3">
        <v>45440.129131944443</v>
      </c>
      <c r="E1818" s="2" t="s">
        <v>214</v>
      </c>
    </row>
    <row r="1819" spans="1:5" ht="70" x14ac:dyDescent="0.2">
      <c r="A1819" s="2" t="s">
        <v>212</v>
      </c>
      <c r="B1819" s="2" t="str">
        <f>HYPERLINK("https://topnews.media/health/junk-food-diet-in-teens-can-lead-to-poor-memory/")</f>
        <v>https://topnews.media/health/junk-food-diet-in-teens-can-lead-to-poor-memory/</v>
      </c>
      <c r="C1819" s="2" t="s">
        <v>213</v>
      </c>
      <c r="D1819" s="3">
        <v>45440.156597222223</v>
      </c>
      <c r="E1819" s="2" t="s">
        <v>214</v>
      </c>
    </row>
    <row r="1820" spans="1:5" ht="70" x14ac:dyDescent="0.2">
      <c r="A1820" s="2" t="s">
        <v>212</v>
      </c>
      <c r="B1820" s="2" t="str">
        <f>HYPERLINK("http://swifttelecast.com/junk-food-diet-in-teens-can-lead-to-poor-memory/")</f>
        <v>http://swifttelecast.com/junk-food-diet-in-teens-can-lead-to-poor-memory/</v>
      </c>
      <c r="C1820" s="2" t="s">
        <v>283</v>
      </c>
      <c r="D1820" s="3">
        <v>45440.235717592594</v>
      </c>
      <c r="E1820" s="2" t="s">
        <v>214</v>
      </c>
    </row>
    <row r="1821" spans="1:5" ht="70" x14ac:dyDescent="0.2">
      <c r="A1821" s="2" t="s">
        <v>212</v>
      </c>
      <c r="B1821" s="2" t="str">
        <f>HYPERLINK("https://newsconcerns.com/junk-food-diet-in-teens-can-lead-to-poor-memory/")</f>
        <v>https://newsconcerns.com/junk-food-diet-in-teens-can-lead-to-poor-memory/</v>
      </c>
      <c r="C1821" s="2" t="s">
        <v>625</v>
      </c>
      <c r="D1821" s="3">
        <v>45440.311585648153</v>
      </c>
      <c r="E1821" s="2" t="s">
        <v>214</v>
      </c>
    </row>
    <row r="1822" spans="1:5" ht="409.6" x14ac:dyDescent="0.2">
      <c r="A1822" s="2" t="s">
        <v>4125</v>
      </c>
      <c r="B1822" s="2" t="str">
        <f>HYPERLINK("https://www.mathematica.org/events/events-and-conferences")</f>
        <v>https://www.mathematica.org/events/events-and-conferences</v>
      </c>
      <c r="C1822" s="2" t="s">
        <v>1793</v>
      </c>
      <c r="D1822" s="3">
        <v>45441</v>
      </c>
      <c r="E1822" s="2" t="s">
        <v>4126</v>
      </c>
    </row>
    <row r="1823" spans="1:5" ht="98" x14ac:dyDescent="0.2">
      <c r="A1823" s="2" t="s">
        <v>3559</v>
      </c>
      <c r="B1823" s="2" t="str">
        <f>HYPERLINK("https://www.hurriyet.com.tr/aile/30-yil-boyunca-100-000den-fazla-kisinin-verileri-incelendi-sonuclar-dikkat-cekici-en-az-tuketen-gunde-3-porsiyon-yiyor-hangi-asiri-islenmis-gidalari-hayatimizdan-cikarmaliyiz-42469114")</f>
        <v>https://www.hurriyet.com.tr/aile/30-yil-boyunca-100-000den-fazla-kisinin-verileri-incelendi-sonuclar-dikkat-cekici-en-az-tuketen-gunde-3-porsiyon-yiyor-hangi-asiri-islenmis-gidalari-hayatimizdan-cikarmaliyiz-42469114</v>
      </c>
      <c r="C1823" s="2" t="s">
        <v>3560</v>
      </c>
      <c r="D1823" s="3">
        <v>45441.081250000003</v>
      </c>
      <c r="E1823" s="2" t="s">
        <v>3561</v>
      </c>
    </row>
    <row r="1824" spans="1:5" ht="84" x14ac:dyDescent="0.2">
      <c r="A1824" s="2" t="s">
        <v>1479</v>
      </c>
      <c r="B1824" s="2" t="str">
        <f>HYPERLINK("https://zmonline.com/the-latest/want-to-live-longer-become-a-tea-drinker-new-study-suggests/")</f>
        <v>https://zmonline.com/the-latest/want-to-live-longer-become-a-tea-drinker-new-study-suggests/</v>
      </c>
      <c r="C1824" s="2" t="s">
        <v>1480</v>
      </c>
      <c r="D1824" s="3">
        <v>45441.862384259257</v>
      </c>
      <c r="E1824" s="2" t="s">
        <v>1481</v>
      </c>
    </row>
    <row r="1825" spans="1:5" ht="84" x14ac:dyDescent="0.2">
      <c r="A1825" s="2" t="s">
        <v>1540</v>
      </c>
      <c r="B1825" s="2" t="str">
        <f>HYPERLINK("https://www.publicnewsservice.org/2024-05-30/health/mount-sinai-beth-israel-hospital-slated-to-close-july-12/a90562-1")</f>
        <v>https://www.publicnewsservice.org/2024-05-30/health/mount-sinai-beth-israel-hospital-slated-to-close-july-12/a90562-1</v>
      </c>
      <c r="C1825" s="2" t="s">
        <v>1541</v>
      </c>
      <c r="D1825" s="3">
        <v>45442.083333333343</v>
      </c>
      <c r="E1825" s="2" t="s">
        <v>1542</v>
      </c>
    </row>
    <row r="1826" spans="1:5" ht="84" x14ac:dyDescent="0.2">
      <c r="A1826" s="2" t="s">
        <v>1549</v>
      </c>
      <c r="B1826" s="2" t="str">
        <f>HYPERLINK("https://www.publicnewsservice.org/2024-05-30/health/brain-health-experts-seek-solutions-for-alzheimers-crisis-in-georgia/a90586-1")</f>
        <v>https://www.publicnewsservice.org/2024-05-30/health/brain-health-experts-seek-solutions-for-alzheimers-crisis-in-georgia/a90586-1</v>
      </c>
      <c r="C1826" s="2" t="s">
        <v>1541</v>
      </c>
      <c r="D1826" s="3">
        <v>45442.083333333343</v>
      </c>
      <c r="E1826" s="2" t="s">
        <v>1542</v>
      </c>
    </row>
    <row r="1827" spans="1:5" ht="56" x14ac:dyDescent="0.2">
      <c r="A1827" s="2" t="s">
        <v>120</v>
      </c>
      <c r="B1827" s="2" t="str">
        <f>HYPERLINK("https://bitebi.com/whats-new-in-food-tech-a-few-that-caught-my-fancy/")</f>
        <v>https://bitebi.com/whats-new-in-food-tech-a-few-that-caught-my-fancy/</v>
      </c>
      <c r="C1827" s="2" t="s">
        <v>15</v>
      </c>
      <c r="D1827" s="3">
        <v>45442.403090277781</v>
      </c>
      <c r="E1827" s="2" t="s">
        <v>121</v>
      </c>
    </row>
    <row r="1828" spans="1:5" ht="70" x14ac:dyDescent="0.2">
      <c r="A1828" s="2" t="s">
        <v>2504</v>
      </c>
      <c r="B1828" s="2" t="str">
        <f>HYPERLINK("https://childrenshealthdefense.org/defender/teens-junk-food-long-term-memory-problems-cola/")</f>
        <v>https://childrenshealthdefense.org/defender/teens-junk-food-long-term-memory-problems-cola/</v>
      </c>
      <c r="C1828" s="2" t="s">
        <v>2505</v>
      </c>
      <c r="D1828" s="3">
        <v>45442.724143518521</v>
      </c>
      <c r="E1828" s="2" t="s">
        <v>2506</v>
      </c>
    </row>
    <row r="1829" spans="1:5" ht="84" x14ac:dyDescent="0.2">
      <c r="A1829" s="2" t="s">
        <v>701</v>
      </c>
      <c r="B1829" s="2" t="str">
        <f>HYPERLINK("https://capitalisnt.com/episodes/the-big-money-behind-ultra-processed-foods-with-marion-nestle-Gxa34IRC?__s=9pdefy2dic9hkmzk8v7i")</f>
        <v>https://capitalisnt.com/episodes/the-big-money-behind-ultra-processed-foods-with-marion-nestle-Gxa34IRC?__s=9pdefy2dic9hkmzk8v7i</v>
      </c>
      <c r="C1829" s="2" t="s">
        <v>702</v>
      </c>
      <c r="D1829" s="3">
        <v>45442.942986111113</v>
      </c>
      <c r="E1829" s="2" t="s">
        <v>703</v>
      </c>
    </row>
    <row r="1830" spans="1:5" ht="70" x14ac:dyDescent="0.2">
      <c r="A1830" s="2" t="s">
        <v>3437</v>
      </c>
      <c r="B1830" s="2" t="str">
        <f>HYPERLINK("https://www.vox.com/future-perfect/352359/milk-dairy-schools")</f>
        <v>https://www.vox.com/future-perfect/352359/milk-dairy-schools</v>
      </c>
      <c r="C1830" s="2" t="s">
        <v>3438</v>
      </c>
      <c r="D1830" s="3">
        <v>45443.254421296297</v>
      </c>
      <c r="E1830" s="2" t="s">
        <v>2888</v>
      </c>
    </row>
    <row r="1831" spans="1:5" ht="70" x14ac:dyDescent="0.2">
      <c r="A1831" s="2" t="s">
        <v>2887</v>
      </c>
      <c r="B1831" s="2" t="str">
        <f>HYPERLINK("https://dnyuz.com/2024/05/31/big-milk-has-taken-over-american-schools/")</f>
        <v>https://dnyuz.com/2024/05/31/big-milk-has-taken-over-american-schools/</v>
      </c>
      <c r="C1831" s="2" t="s">
        <v>2847</v>
      </c>
      <c r="D1831" s="3">
        <v>45443.270092592589</v>
      </c>
      <c r="E1831" s="2" t="s">
        <v>2888</v>
      </c>
    </row>
    <row r="1832" spans="1:5" ht="210" x14ac:dyDescent="0.2">
      <c r="A1832" s="2" t="s">
        <v>595</v>
      </c>
      <c r="B1832" s="2" t="str">
        <f>HYPERLINK("http://itsjustmovies.com/review-food-inc-2/")</f>
        <v>http://itsjustmovies.com/review-food-inc-2/</v>
      </c>
      <c r="C1832" s="2" t="s">
        <v>596</v>
      </c>
      <c r="D1832" s="3">
        <v>45443.730300925927</v>
      </c>
      <c r="E1832" s="2" t="s">
        <v>597</v>
      </c>
    </row>
    <row r="1833" spans="1:5" ht="70" x14ac:dyDescent="0.2">
      <c r="A1833" s="2" t="s">
        <v>2033</v>
      </c>
      <c r="B1833" s="2" t="str">
        <f>HYPERLINK("https://www.thedailyupside.com/industries/consumer/can-upstart-entrants-shake-up-the-soda-industry/")</f>
        <v>https://www.thedailyupside.com/industries/consumer/can-upstart-entrants-shake-up-the-soda-industry/</v>
      </c>
      <c r="C1833" s="2" t="s">
        <v>2034</v>
      </c>
      <c r="D1833" s="3">
        <v>45443.76798611111</v>
      </c>
      <c r="E1833" s="2" t="s">
        <v>2035</v>
      </c>
    </row>
    <row r="1834" spans="1:5" ht="70" x14ac:dyDescent="0.2">
      <c r="A1834" s="2" t="s">
        <v>959</v>
      </c>
      <c r="B1834" s="2" t="str">
        <f>HYPERLINK("https://mundooculto.es/2024/06/las-azucareras-pagaron-para-culpar-a-la-grasa-de-los-trastornos-de-corazon/")</f>
        <v>https://mundooculto.es/2024/06/las-azucareras-pagaron-para-culpar-a-la-grasa-de-los-trastornos-de-corazon/</v>
      </c>
      <c r="C1834" s="2" t="s">
        <v>960</v>
      </c>
      <c r="D1834" s="3">
        <v>45443.924444444441</v>
      </c>
      <c r="E1834" s="2" t="s">
        <v>961</v>
      </c>
    </row>
    <row r="1835" spans="1:5" ht="70" x14ac:dyDescent="0.2">
      <c r="A1835" s="2" t="s">
        <v>3044</v>
      </c>
      <c r="B1835" s="2" t="str">
        <f>HYPERLINK("https://www.capital.ro/alimente-ultraprocesate-efecte-asupra-sanatatii.html")</f>
        <v>https://www.capital.ro/alimente-ultraprocesate-efecte-asupra-sanatatii.html</v>
      </c>
      <c r="C1835" s="2" t="s">
        <v>3045</v>
      </c>
      <c r="D1835" s="3">
        <v>45445.68068287037</v>
      </c>
      <c r="E1835" s="2" t="s">
        <v>3046</v>
      </c>
    </row>
    <row r="1836" spans="1:5" ht="70" x14ac:dyDescent="0.2">
      <c r="A1836" s="2" t="s">
        <v>3916</v>
      </c>
      <c r="B1836" s="2" t="str">
        <f>HYPERLINK("https://wherethefoodcomesfrom.com/fact-check-almonds-reduce-inflammation-post-exercise/")</f>
        <v>https://wherethefoodcomesfrom.com/fact-check-almonds-reduce-inflammation-post-exercise/</v>
      </c>
      <c r="C1836" s="2" t="s">
        <v>3746</v>
      </c>
      <c r="D1836" s="3">
        <v>45445.919432870367</v>
      </c>
      <c r="E1836" s="2" t="s">
        <v>3747</v>
      </c>
    </row>
    <row r="1837" spans="1:5" ht="112" x14ac:dyDescent="0.2">
      <c r="A1837" s="2" t="s">
        <v>3265</v>
      </c>
      <c r="B1837" s="2" t="str">
        <f>HYPERLINK("https://www.fanatik.ro/produsul-delicios-din-comert-considerat-o-adevarata-otrava-de-catre-specialisti-e-ultraprocesat-si-poate-genera-probleme-mari-de-sanatate-20709765")</f>
        <v>https://www.fanatik.ro/produsul-delicios-din-comert-considerat-o-adevarata-otrava-de-catre-specialisti-e-ultraprocesat-si-poate-genera-probleme-mari-de-sanatate-20709765</v>
      </c>
      <c r="C1837" s="2" t="s">
        <v>3266</v>
      </c>
      <c r="D1837" s="3">
        <v>45446.058831018519</v>
      </c>
      <c r="E1837" s="2" t="s">
        <v>3267</v>
      </c>
    </row>
    <row r="1838" spans="1:5" ht="56" x14ac:dyDescent="0.2">
      <c r="A1838" s="2" t="s">
        <v>3013</v>
      </c>
      <c r="B1838" s="2" t="str">
        <f>HYPERLINK("https://playtech.ro/stiri/alimentele-ultraprocesate-pe-care-ar-trebui-sa-le-eviti-potrivit-unui-studiu-de-30-de-ani-care-este-cel-mai-periculos-913410")</f>
        <v>https://playtech.ro/stiri/alimentele-ultraprocesate-pe-care-ar-trebui-sa-le-eviti-potrivit-unui-studiu-de-30-de-ani-care-este-cel-mai-periculos-913410</v>
      </c>
      <c r="C1838" s="2" t="s">
        <v>3011</v>
      </c>
      <c r="D1838" s="3">
        <v>45447.191192129627</v>
      </c>
      <c r="E1838" s="2" t="s">
        <v>3014</v>
      </c>
    </row>
    <row r="1839" spans="1:5" ht="42" x14ac:dyDescent="0.2">
      <c r="A1839" s="2" t="s">
        <v>3573</v>
      </c>
      <c r="B1839" s="2" t="str">
        <f>HYPERLINK("https://www.lavanguardia.com/comer/al-dia/20240604/9703522/razon-comida-aviones-mal-menu-a-bordo.html")</f>
        <v>https://www.lavanguardia.com/comer/al-dia/20240604/9703522/razon-comida-aviones-mal-menu-a-bordo.html</v>
      </c>
      <c r="C1839" s="2" t="s">
        <v>3574</v>
      </c>
      <c r="D1839" s="3">
        <v>45447.23883101852</v>
      </c>
      <c r="E1839" s="2" t="s">
        <v>3575</v>
      </c>
    </row>
    <row r="1840" spans="1:5" ht="84" x14ac:dyDescent="0.2">
      <c r="A1840" s="2" t="s">
        <v>64</v>
      </c>
      <c r="B1840" s="2" t="str">
        <f>HYPERLINK("https://www.aol.com/news/ultra-processed-food-tasty-easy-171200703.html")</f>
        <v>https://www.aol.com/news/ultra-processed-food-tasty-easy-171200703.html</v>
      </c>
      <c r="C1840" s="2" t="s">
        <v>3592</v>
      </c>
      <c r="D1840" s="3">
        <v>45448.55</v>
      </c>
      <c r="E1840" s="2" t="s">
        <v>3595</v>
      </c>
    </row>
    <row r="1841" spans="1:5" ht="168" x14ac:dyDescent="0.2">
      <c r="A1841" s="2" t="s">
        <v>381</v>
      </c>
      <c r="B1841" s="2" t="str">
        <f>HYPERLINK("https://www.startribune.com/ultra-processed-food-is-tasty-and-easy-how-bad-is-it-for-you/600371266/")</f>
        <v>https://www.startribune.com/ultra-processed-food-is-tasty-and-easy-how-bad-is-it-for-you/600371266/</v>
      </c>
      <c r="C1841" s="2" t="s">
        <v>3177</v>
      </c>
      <c r="D1841" s="3">
        <v>45448.551770833343</v>
      </c>
      <c r="E1841" s="2" t="s">
        <v>3286</v>
      </c>
    </row>
    <row r="1842" spans="1:5" ht="112" x14ac:dyDescent="0.2">
      <c r="A1842" s="2" t="s">
        <v>633</v>
      </c>
      <c r="B1842" s="2" t="str">
        <f>HYPERLINK("https://newsbeezer.com/highly-processed-foods-are-under-regulatory-control-due-to-health-concerns/")</f>
        <v>https://newsbeezer.com/highly-processed-foods-are-under-regulatory-control-due-to-health-concerns/</v>
      </c>
      <c r="C1842" s="2" t="s">
        <v>629</v>
      </c>
      <c r="D1842" s="3">
        <v>45448.653333333343</v>
      </c>
      <c r="E1842" s="2" t="s">
        <v>634</v>
      </c>
    </row>
    <row r="1843" spans="1:5" ht="84" x14ac:dyDescent="0.2">
      <c r="A1843" s="2" t="s">
        <v>2816</v>
      </c>
      <c r="B1843" s="2" t="str">
        <f>HYPERLINK("https://hotair.com/headlines/2024/06/05/the-monoculture-made-super-size-me-n3789687")</f>
        <v>https://hotair.com/headlines/2024/06/05/the-monoculture-made-super-size-me-n3789687</v>
      </c>
      <c r="C1843" s="2" t="s">
        <v>2817</v>
      </c>
      <c r="D1843" s="3">
        <v>45448.694444444453</v>
      </c>
      <c r="E1843" s="2" t="s">
        <v>2818</v>
      </c>
    </row>
    <row r="1844" spans="1:5" ht="84" x14ac:dyDescent="0.2">
      <c r="A1844" s="2" t="s">
        <v>64</v>
      </c>
      <c r="B1844" s="2" t="str">
        <f>HYPERLINK("https://www.yahoo.com/lifestyle/ultra-processed-food-tasty-easy-171200337.html")</f>
        <v>https://www.yahoo.com/lifestyle/ultra-processed-food-tasty-easy-171200337.html</v>
      </c>
      <c r="C1844" s="2" t="s">
        <v>3726</v>
      </c>
      <c r="D1844" s="3">
        <v>45448.714988425927</v>
      </c>
      <c r="E1844" s="2" t="s">
        <v>65</v>
      </c>
    </row>
    <row r="1845" spans="1:5" ht="84" x14ac:dyDescent="0.2">
      <c r="A1845" s="2" t="s">
        <v>381</v>
      </c>
      <c r="B1845" s="2" t="str">
        <f>HYPERLINK("https://tittlepress.com/health/3149273/")</f>
        <v>https://tittlepress.com/health/3149273/</v>
      </c>
      <c r="C1845" s="2" t="s">
        <v>379</v>
      </c>
      <c r="D1845" s="3">
        <v>45448.769236111111</v>
      </c>
      <c r="E1845" s="2" t="s">
        <v>382</v>
      </c>
    </row>
    <row r="1846" spans="1:5" ht="70" x14ac:dyDescent="0.2">
      <c r="A1846" s="2" t="s">
        <v>484</v>
      </c>
      <c r="B1846" s="2" t="str">
        <f>HYPERLINK("https://www.counselheal.com/articles/42361/20240606/xylitol-danger-study-links-sugar-substitute-cardiovascular-risks.htm")</f>
        <v>https://www.counselheal.com/articles/42361/20240606/xylitol-danger-study-links-sugar-substitute-cardiovascular-risks.htm</v>
      </c>
      <c r="C1846" s="2" t="s">
        <v>485</v>
      </c>
      <c r="D1846" s="3">
        <v>45449</v>
      </c>
      <c r="E1846" s="2" t="s">
        <v>486</v>
      </c>
    </row>
    <row r="1847" spans="1:5" ht="98" x14ac:dyDescent="0.2">
      <c r="A1847" s="2" t="s">
        <v>2623</v>
      </c>
      <c r="B1847" s="2" t="str">
        <f>HYPERLINK("https://nz.news.yahoo.com/breakfast-most-important-meal-day-070017731.html")</f>
        <v>https://nz.news.yahoo.com/breakfast-most-important-meal-day-070017731.html</v>
      </c>
      <c r="C1847" s="2" t="s">
        <v>2518</v>
      </c>
      <c r="D1847" s="3">
        <v>45449.125196759262</v>
      </c>
      <c r="E1847" s="2" t="s">
        <v>284</v>
      </c>
    </row>
    <row r="1848" spans="1:5" ht="98" x14ac:dyDescent="0.2">
      <c r="A1848" s="2" t="s">
        <v>2623</v>
      </c>
      <c r="B1848" s="2" t="str">
        <f>HYPERLINK("https://www.yahoo.com/lifestyle/breakfast-most-important-meal-day-070017731.html")</f>
        <v>https://www.yahoo.com/lifestyle/breakfast-most-important-meal-day-070017731.html</v>
      </c>
      <c r="C1848" s="2" t="s">
        <v>3726</v>
      </c>
      <c r="D1848" s="3">
        <v>45449.125196759262</v>
      </c>
      <c r="E1848" s="2" t="s">
        <v>284</v>
      </c>
    </row>
    <row r="1849" spans="1:5" ht="56" x14ac:dyDescent="0.2">
      <c r="A1849" s="2" t="s">
        <v>202</v>
      </c>
      <c r="B1849" s="2" t="str">
        <f>HYPERLINK("https://www.deleciousfood.com/breakfast-is-the-most-important-meal-of-the-day-or-is-it/")</f>
        <v>https://www.deleciousfood.com/breakfast-is-the-most-important-meal-of-the-day-or-is-it/</v>
      </c>
      <c r="C1849" s="2" t="s">
        <v>200</v>
      </c>
      <c r="D1849" s="3">
        <v>45449.132662037038</v>
      </c>
      <c r="E1849" s="2" t="s">
        <v>203</v>
      </c>
    </row>
    <row r="1850" spans="1:5" ht="98" x14ac:dyDescent="0.2">
      <c r="A1850" s="2" t="s">
        <v>3485</v>
      </c>
      <c r="B1850" s="2" t="str">
        <f>HYPERLINK("https://www.newsbreak.com/news/3482799875133-breakfast-is-the-most-important-meal-of-the-day-or-is-it")</f>
        <v>https://www.newsbreak.com/news/3482799875133-breakfast-is-the-most-important-meal-of-the-day-or-is-it</v>
      </c>
      <c r="C1850" s="2" t="s">
        <v>3461</v>
      </c>
      <c r="D1850" s="3">
        <v>45449.133136574077</v>
      </c>
      <c r="E1850" s="2" t="s">
        <v>3486</v>
      </c>
    </row>
    <row r="1851" spans="1:5" ht="98" x14ac:dyDescent="0.2">
      <c r="A1851" s="2" t="s">
        <v>3544</v>
      </c>
      <c r="B1851" s="2" t="str">
        <f>HYPERLINK("https://www.huffpost.com/entry/is-it-bad-to-skip-breakfast_l_6659d7a5e4b0ca2f37c019a7")</f>
        <v>https://www.huffpost.com/entry/is-it-bad-to-skip-breakfast_l_6659d7a5e4b0ca2f37c019a7</v>
      </c>
      <c r="C1851" s="2" t="s">
        <v>3521</v>
      </c>
      <c r="D1851" s="3">
        <v>45449.134583333333</v>
      </c>
      <c r="E1851" s="2" t="s">
        <v>284</v>
      </c>
    </row>
    <row r="1852" spans="1:5" ht="98" x14ac:dyDescent="0.2">
      <c r="A1852" s="2" t="s">
        <v>2623</v>
      </c>
      <c r="B1852" s="2" t="str">
        <f>HYPERLINK("https://ca.style.yahoo.com/breakfast-most-important-meal-day-070017731.html")</f>
        <v>https://ca.style.yahoo.com/breakfast-most-important-meal-day-070017731.html</v>
      </c>
      <c r="C1852" s="2" t="s">
        <v>2813</v>
      </c>
      <c r="D1852" s="3">
        <v>45449.135312500002</v>
      </c>
      <c r="E1852" s="2" t="s">
        <v>284</v>
      </c>
    </row>
    <row r="1853" spans="1:5" ht="98" x14ac:dyDescent="0.2">
      <c r="A1853" s="2" t="s">
        <v>282</v>
      </c>
      <c r="B1853" s="2" t="str">
        <f>HYPERLINK("https://seculartimes.com/is-skipping-breakfast-really-that-bad-for-your-health/")</f>
        <v>https://seculartimes.com/is-skipping-breakfast-really-that-bad-for-your-health/</v>
      </c>
      <c r="C1853" s="2" t="s">
        <v>419</v>
      </c>
      <c r="D1853" s="3">
        <v>45449.163715277777</v>
      </c>
      <c r="E1853" s="2" t="s">
        <v>284</v>
      </c>
    </row>
    <row r="1854" spans="1:5" ht="98" x14ac:dyDescent="0.2">
      <c r="A1854" s="2" t="s">
        <v>282</v>
      </c>
      <c r="B1854" s="2" t="str">
        <f>HYPERLINK("https://newsconcerns.com/is-skipping-breakfast-really-that-bad-for-your-health/")</f>
        <v>https://newsconcerns.com/is-skipping-breakfast-really-that-bad-for-your-health/</v>
      </c>
      <c r="C1854" s="2" t="s">
        <v>625</v>
      </c>
      <c r="D1854" s="3">
        <v>45449.2028125</v>
      </c>
      <c r="E1854" s="2" t="s">
        <v>284</v>
      </c>
    </row>
    <row r="1855" spans="1:5" ht="98" x14ac:dyDescent="0.2">
      <c r="A1855" s="2" t="s">
        <v>282</v>
      </c>
      <c r="B1855" s="2" t="str">
        <f>HYPERLINK("http://swifttelecast.com/is-skipping-breakfast-really-that-bad-for-your-health/")</f>
        <v>http://swifttelecast.com/is-skipping-breakfast-really-that-bad-for-your-health/</v>
      </c>
      <c r="C1855" s="2" t="s">
        <v>283</v>
      </c>
      <c r="D1855" s="3">
        <v>45449.275613425933</v>
      </c>
      <c r="E1855" s="2" t="s">
        <v>284</v>
      </c>
    </row>
    <row r="1856" spans="1:5" ht="42" x14ac:dyDescent="0.2">
      <c r="A1856" s="2" t="s">
        <v>1878</v>
      </c>
      <c r="B1856" s="2" t="str">
        <f>HYPERLINK("https://www.acsh.org/news/2024/06/06/what-i-am-reading-june-6th-17884")</f>
        <v>https://www.acsh.org/news/2024/06/06/what-i-am-reading-june-6th-17884</v>
      </c>
      <c r="C1856" s="2" t="s">
        <v>1879</v>
      </c>
      <c r="D1856" s="3">
        <v>45449.456805555557</v>
      </c>
      <c r="E1856" s="2" t="s">
        <v>1880</v>
      </c>
    </row>
    <row r="1857" spans="1:5" ht="98" x14ac:dyDescent="0.2">
      <c r="A1857" s="2" t="s">
        <v>2882</v>
      </c>
      <c r="B1857" s="2" t="str">
        <f>HYPERLINK("https://www.nytimes.com/2024/06/06/well/prebiotic-soda-poppi-olipop.html")</f>
        <v>https://www.nytimes.com/2024/06/06/well/prebiotic-soda-poppi-olipop.html</v>
      </c>
      <c r="C1857" s="2" t="s">
        <v>3717</v>
      </c>
      <c r="D1857" s="3">
        <v>45449.491307870368</v>
      </c>
      <c r="E1857" s="2" t="s">
        <v>3721</v>
      </c>
    </row>
    <row r="1858" spans="1:5" ht="98" x14ac:dyDescent="0.2">
      <c r="A1858" s="2" t="s">
        <v>2882</v>
      </c>
      <c r="B1858" s="2" t="str">
        <f>HYPERLINK("https://dnyuz.com/2024/06/06/the-truth-about-prebiotic-sodas/")</f>
        <v>https://dnyuz.com/2024/06/06/the-truth-about-prebiotic-sodas/</v>
      </c>
      <c r="C1858" s="2" t="s">
        <v>2847</v>
      </c>
      <c r="D1858" s="3">
        <v>45449.495520833327</v>
      </c>
      <c r="E1858" s="2" t="s">
        <v>772</v>
      </c>
    </row>
    <row r="1859" spans="1:5" ht="70" x14ac:dyDescent="0.2">
      <c r="A1859" s="2" t="s">
        <v>257</v>
      </c>
      <c r="B1859" s="2" t="str">
        <f>HYPERLINK("https://www.washingtonpost.com/wellness/2024/06/06/xylitol-sugar-artificial-sweetener-heart/")</f>
        <v>https://www.washingtonpost.com/wellness/2024/06/06/xylitol-sugar-artificial-sweetener-heart/</v>
      </c>
      <c r="C1859" s="2" t="s">
        <v>3634</v>
      </c>
      <c r="D1859" s="3">
        <v>45449.591446759259</v>
      </c>
      <c r="E1859" s="2" t="s">
        <v>380</v>
      </c>
    </row>
    <row r="1860" spans="1:5" ht="56" x14ac:dyDescent="0.2">
      <c r="A1860" s="2" t="s">
        <v>74</v>
      </c>
      <c r="B1860" s="2" t="str">
        <f>HYPERLINK("https://bitebi.com/dietary-guidelines-iii-they-havent-changed-since-the-late-1950s/")</f>
        <v>https://bitebi.com/dietary-guidelines-iii-they-havent-changed-since-the-late-1950s/</v>
      </c>
      <c r="C1860" s="2" t="s">
        <v>15</v>
      </c>
      <c r="D1860" s="3">
        <v>45449.649062500001</v>
      </c>
      <c r="E1860" s="2" t="s">
        <v>75</v>
      </c>
    </row>
    <row r="1861" spans="1:5" ht="70" x14ac:dyDescent="0.2">
      <c r="A1861" s="2" t="s">
        <v>257</v>
      </c>
      <c r="B1861" s="2" t="str">
        <f>HYPERLINK("https://pressnewsagency.org/sugar-substitute-xylitol-linked-to-increased-risk-of-heart-attack-stroke/")</f>
        <v>https://pressnewsagency.org/sugar-substitute-xylitol-linked-to-increased-risk-of-heart-attack-stroke/</v>
      </c>
      <c r="C1861" s="2" t="s">
        <v>394</v>
      </c>
      <c r="D1861" s="3">
        <v>45449.661307870367</v>
      </c>
      <c r="E1861" s="2" t="s">
        <v>380</v>
      </c>
    </row>
    <row r="1862" spans="1:5" ht="70" x14ac:dyDescent="0.2">
      <c r="A1862" s="2" t="s">
        <v>257</v>
      </c>
      <c r="B1862" s="2" t="str">
        <f>HYPERLINK("https://tittlepress.com/health/3150921/")</f>
        <v>https://tittlepress.com/health/3150921/</v>
      </c>
      <c r="C1862" s="2" t="s">
        <v>379</v>
      </c>
      <c r="D1862" s="3">
        <v>45449.692430555559</v>
      </c>
      <c r="E1862" s="2" t="s">
        <v>380</v>
      </c>
    </row>
    <row r="1863" spans="1:5" ht="70" x14ac:dyDescent="0.2">
      <c r="A1863" s="2" t="s">
        <v>257</v>
      </c>
      <c r="B1863" s="2" t="str">
        <f>HYPERLINK("https://www.adn.com/alaska-life/food-drink/2024/06/06/sugar-substitute-xylitol-linked-to-increased-risk-of-heart-attack-stroke/")</f>
        <v>https://www.adn.com/alaska-life/food-drink/2024/06/06/sugar-substitute-xylitol-linked-to-increased-risk-of-heart-attack-stroke/</v>
      </c>
      <c r="C1863" s="2" t="s">
        <v>2640</v>
      </c>
      <c r="D1863" s="3">
        <v>45449.839456018519</v>
      </c>
      <c r="E1863" s="2" t="s">
        <v>380</v>
      </c>
    </row>
    <row r="1864" spans="1:5" ht="84" x14ac:dyDescent="0.2">
      <c r="A1864" s="2" t="s">
        <v>381</v>
      </c>
      <c r="B1864" s="2" t="str">
        <f>HYPERLINK("https://health-reporter.news/ultra-processed-food-faces-regulatory-scrutiny-over-health-concerns/")</f>
        <v>https://health-reporter.news/ultra-processed-food-faces-regulatory-scrutiny-over-health-concerns/</v>
      </c>
      <c r="C1864" s="2" t="s">
        <v>222</v>
      </c>
      <c r="D1864" s="3">
        <v>45450.095254629632</v>
      </c>
      <c r="E1864" s="2" t="s">
        <v>382</v>
      </c>
    </row>
    <row r="1865" spans="1:5" ht="70" x14ac:dyDescent="0.2">
      <c r="A1865" s="2" t="s">
        <v>3475</v>
      </c>
      <c r="B1865" s="2" t="str">
        <f>HYPERLINK("https://www.estadao.com.br/saude/adocante-xilitol-e-ligado-a-um-maior-risco-de-infarto-e-derrame-especialistas-analisam/")</f>
        <v>https://www.estadao.com.br/saude/adocante-xilitol-e-ligado-a-um-maior-risco-de-infarto-e-derrame-especialistas-analisam/</v>
      </c>
      <c r="C1865" s="2" t="s">
        <v>3473</v>
      </c>
      <c r="D1865" s="3">
        <v>45450.354166666657</v>
      </c>
      <c r="E1865" s="2" t="s">
        <v>3476</v>
      </c>
    </row>
    <row r="1866" spans="1:5" ht="70" x14ac:dyDescent="0.2">
      <c r="A1866" s="2" t="s">
        <v>648</v>
      </c>
      <c r="B1866" s="2" t="str">
        <f>HYPERLINK("https://newsbeezer.com/brazil/o-adocante-xilitol-esta-associado-a-um-maior-risco-de-ataque-cardiaco-e-derrame-especialistas-analisam/")</f>
        <v>https://newsbeezer.com/brazil/o-adocante-xilitol-esta-associado-a-um-maior-risco-de-ataque-cardiaco-e-derrame-especialistas-analisam/</v>
      </c>
      <c r="C1866" s="2" t="s">
        <v>629</v>
      </c>
      <c r="D1866" s="3">
        <v>45450.41207175926</v>
      </c>
      <c r="E1866" s="2" t="s">
        <v>649</v>
      </c>
    </row>
    <row r="1867" spans="1:5" ht="70" x14ac:dyDescent="0.2">
      <c r="A1867" s="2" t="s">
        <v>642</v>
      </c>
      <c r="B1867" s="2" t="str">
        <f>HYPERLINK("https://newsbeezer.com/brazileng/xylitol-sweetener-is-linked-to-a-higher-risk-of-heart-attack-and-stroke-experts-analyze/")</f>
        <v>https://newsbeezer.com/brazileng/xylitol-sweetener-is-linked-to-a-higher-risk-of-heart-attack-and-stroke-experts-analyze/</v>
      </c>
      <c r="C1867" s="2" t="s">
        <v>629</v>
      </c>
      <c r="D1867" s="3">
        <v>45450.412858796299</v>
      </c>
      <c r="E1867" s="2" t="s">
        <v>643</v>
      </c>
    </row>
    <row r="1868" spans="1:5" ht="42" x14ac:dyDescent="0.2">
      <c r="A1868" s="2" t="s">
        <v>1411</v>
      </c>
      <c r="B1868" s="2" t="str">
        <f>HYPERLINK("https://www.acsh.org/news/2024/06/06/what-im-reading-june-6-17884")</f>
        <v>https://www.acsh.org/news/2024/06/06/what-im-reading-june-6-17884</v>
      </c>
      <c r="C1868" s="2" t="s">
        <v>1879</v>
      </c>
      <c r="D1868" s="3">
        <v>45450.471886574072</v>
      </c>
      <c r="E1868" s="2" t="s">
        <v>1880</v>
      </c>
    </row>
    <row r="1869" spans="1:5" ht="56" x14ac:dyDescent="0.2">
      <c r="A1869" s="2" t="s">
        <v>2623</v>
      </c>
      <c r="B1869" s="2" t="str">
        <f>HYPERLINK("https://sg.style.yahoo.com/breakfast-most-important-meal-day-070017731.html")</f>
        <v>https://sg.style.yahoo.com/breakfast-most-important-meal-day-070017731.html</v>
      </c>
      <c r="C1869" s="2" t="s">
        <v>2708</v>
      </c>
      <c r="D1869" s="3">
        <v>45450.611909722233</v>
      </c>
      <c r="E1869" s="2" t="s">
        <v>481</v>
      </c>
    </row>
    <row r="1870" spans="1:5" ht="56" x14ac:dyDescent="0.2">
      <c r="A1870" s="2" t="s">
        <v>2623</v>
      </c>
      <c r="B1870" s="2" t="str">
        <f>HYPERLINK("https://malaysia.news.yahoo.com/breakfast-most-important-meal-day-070017731.html")</f>
        <v>https://malaysia.news.yahoo.com/breakfast-most-important-meal-day-070017731.html</v>
      </c>
      <c r="C1870" s="2" t="s">
        <v>2674</v>
      </c>
      <c r="D1870" s="3">
        <v>45450.611909722233</v>
      </c>
      <c r="E1870" s="2" t="s">
        <v>481</v>
      </c>
    </row>
    <row r="1871" spans="1:5" ht="56" x14ac:dyDescent="0.2">
      <c r="A1871" s="2" t="s">
        <v>3147</v>
      </c>
      <c r="B1871" s="2" t="str">
        <f>HYPERLINK("https://www.huffingtonpost.co.uk/entry/breakfast-is-the-most-important-meal-of-the-day-or-is-it_uk_6662e1a4e4b0bf0f816535cf")</f>
        <v>https://www.huffingtonpost.co.uk/entry/breakfast-is-the-most-important-meal-of-the-day-or-is-it_uk_6662e1a4e4b0bf0f816535cf</v>
      </c>
      <c r="C1871" s="2" t="s">
        <v>3148</v>
      </c>
      <c r="D1871" s="3">
        <v>45451.041898148149</v>
      </c>
      <c r="E1871" s="2" t="s">
        <v>3149</v>
      </c>
    </row>
    <row r="1872" spans="1:5" ht="56" x14ac:dyDescent="0.2">
      <c r="A1872" s="2" t="s">
        <v>3763</v>
      </c>
      <c r="B1872" s="2" t="str">
        <f>HYPERLINK("https://mingooland.com/2024/06/breakfast-is-the-most-important-meal-of-the-day-or-is-it/")</f>
        <v>https://mingooland.com/2024/06/breakfast-is-the-most-important-meal-of-the-day-or-is-it/</v>
      </c>
      <c r="C1872" s="2" t="s">
        <v>3764</v>
      </c>
      <c r="D1872" s="3">
        <v>45451.083564814813</v>
      </c>
      <c r="E1872" s="2" t="s">
        <v>481</v>
      </c>
    </row>
    <row r="1873" spans="1:5" ht="56" x14ac:dyDescent="0.2">
      <c r="A1873" s="2" t="s">
        <v>1411</v>
      </c>
      <c r="B1873" s="2" t="str">
        <f>HYPERLINK("https://news.knowledia.com/US/en/articles/what-i-m-reading-june-6-e4c5d1373211e7b930502ad135c26bf583be183c")</f>
        <v>https://news.knowledia.com/US/en/articles/what-i-m-reading-june-6-e4c5d1373211e7b930502ad135c26bf583be183c</v>
      </c>
      <c r="C1873" s="2" t="s">
        <v>1384</v>
      </c>
      <c r="D1873" s="3">
        <v>45451.512094907397</v>
      </c>
      <c r="E1873" s="2" t="s">
        <v>1412</v>
      </c>
    </row>
    <row r="1874" spans="1:5" ht="98" x14ac:dyDescent="0.2">
      <c r="A1874" s="2" t="s">
        <v>770</v>
      </c>
      <c r="B1874" s="2" t="str">
        <f>HYPERLINK("https://hispanicbusinesstv.com/2024/06/08/are-prebiotic-sodas-like-poppi-actually-good-for-gut-health/")</f>
        <v>https://hispanicbusinesstv.com/2024/06/08/are-prebiotic-sodas-like-poppi-actually-good-for-gut-health/</v>
      </c>
      <c r="C1874" s="2" t="s">
        <v>771</v>
      </c>
      <c r="D1874" s="3">
        <v>45451.526944444442</v>
      </c>
      <c r="E1874" s="2" t="s">
        <v>772</v>
      </c>
    </row>
    <row r="1875" spans="1:5" ht="56" x14ac:dyDescent="0.2">
      <c r="A1875" s="2" t="s">
        <v>282</v>
      </c>
      <c r="B1875" s="2" t="str">
        <f>HYPERLINK("https://madrastribune.com/2024/06/08/is-skipping-breakfast-really-that-bad-for-your-health/")</f>
        <v>https://madrastribune.com/2024/06/08/is-skipping-breakfast-really-that-bad-for-your-health/</v>
      </c>
      <c r="C1875" s="2" t="s">
        <v>479</v>
      </c>
      <c r="D1875" s="3">
        <v>45451.730358796303</v>
      </c>
      <c r="E1875" s="2" t="s">
        <v>481</v>
      </c>
    </row>
    <row r="1876" spans="1:5" ht="196" x14ac:dyDescent="0.2">
      <c r="A1876" s="2" t="s">
        <v>2728</v>
      </c>
      <c r="B1876" s="2" t="str">
        <f>HYPERLINK("http://jandan.net/p/116735")</f>
        <v>http://jandan.net/p/116735</v>
      </c>
      <c r="C1876" s="2" t="s">
        <v>2729</v>
      </c>
      <c r="D1876" s="3">
        <v>45451.797280092593</v>
      </c>
      <c r="E1876" s="2" t="s">
        <v>2437</v>
      </c>
    </row>
    <row r="1877" spans="1:5" ht="154" x14ac:dyDescent="0.2">
      <c r="A1877" s="2" t="s">
        <v>3110</v>
      </c>
      <c r="B1877" s="2" t="str">
        <f>HYPERLINK("https://cnnportugal.iol.pt/alimentos-ultraprocessados/alimentacao/ate-que-ponto-os-alimentos-ultraprocessados-sao-maus-aqui-estao-5-coisas-para-saber/20240609/665973dbd34e049892216d9d")</f>
        <v>https://cnnportugal.iol.pt/alimentos-ultraprocessados/alimentacao/ate-que-ponto-os-alimentos-ultraprocessados-sao-maus-aqui-estao-5-coisas-para-saber/20240609/665973dbd34e049892216d9d</v>
      </c>
      <c r="C1877" s="2" t="s">
        <v>3087</v>
      </c>
      <c r="D1877" s="3">
        <v>45452.418194444443</v>
      </c>
      <c r="E1877" s="2" t="s">
        <v>3111</v>
      </c>
    </row>
    <row r="1878" spans="1:5" ht="140" x14ac:dyDescent="0.2">
      <c r="A1878" s="2" t="s">
        <v>3110</v>
      </c>
      <c r="B1878" s="2" t="str">
        <f>HYPERLINK("https://thenews.co.pt/ate-que-ponto-os-alimentos-ultraprocessados-sao-maus-aqui-estao-5-coisas-para-saber/")</f>
        <v>https://thenews.co.pt/ate-que-ponto-os-alimentos-ultraprocessados-sao-maus-aqui-estao-5-coisas-para-saber/</v>
      </c>
      <c r="C1878" s="2" t="s">
        <v>4082</v>
      </c>
      <c r="D1878" s="3">
        <v>45452.425578703696</v>
      </c>
      <c r="E1878" s="2" t="s">
        <v>4083</v>
      </c>
    </row>
    <row r="1879" spans="1:5" ht="56" x14ac:dyDescent="0.2">
      <c r="A1879" s="2" t="s">
        <v>386</v>
      </c>
      <c r="B1879" s="2" t="str">
        <f>HYPERLINK("https://tittlepress.com/health/3157804/")</f>
        <v>https://tittlepress.com/health/3157804/</v>
      </c>
      <c r="C1879" s="2" t="s">
        <v>379</v>
      </c>
      <c r="D1879" s="3">
        <v>45453</v>
      </c>
      <c r="E1879" s="2" t="s">
        <v>387</v>
      </c>
    </row>
    <row r="1880" spans="1:5" ht="70" x14ac:dyDescent="0.2">
      <c r="A1880" s="2" t="s">
        <v>257</v>
      </c>
      <c r="B1880" s="2" t="str">
        <f>HYPERLINK("https://leaderpost.com/health/diet-fitness/sugar-substitute-xylitol-linked-to-increased-risk-of-heart-attack-stroke")</f>
        <v>https://leaderpost.com/health/diet-fitness/sugar-substitute-xylitol-linked-to-increased-risk-of-heart-attack-stroke</v>
      </c>
      <c r="C1880" s="2" t="s">
        <v>2212</v>
      </c>
      <c r="D1880" s="3">
        <v>45453.340277777781</v>
      </c>
      <c r="E1880" s="2" t="s">
        <v>380</v>
      </c>
    </row>
    <row r="1881" spans="1:5" ht="84" x14ac:dyDescent="0.2">
      <c r="A1881" s="2" t="s">
        <v>257</v>
      </c>
      <c r="B1881" s="2" t="str">
        <f>HYPERLINK("https://canoe.com/health/diet-fitness/sugar-substitute-xylitol-linked-to-increased-risk-of-heart-attack-stroke")</f>
        <v>https://canoe.com/health/diet-fitness/sugar-substitute-xylitol-linked-to-increased-risk-of-heart-attack-stroke</v>
      </c>
      <c r="C1881" s="2" t="s">
        <v>2242</v>
      </c>
      <c r="D1881" s="3">
        <v>45453.340277777781</v>
      </c>
      <c r="E1881" s="2" t="s">
        <v>259</v>
      </c>
    </row>
    <row r="1882" spans="1:5" ht="70" x14ac:dyDescent="0.2">
      <c r="A1882" s="2" t="s">
        <v>257</v>
      </c>
      <c r="B1882" s="2" t="str">
        <f>HYPERLINK("https://calgarysun.com/health/diet-fitness/sugar-substitute-xylitol-linked-to-increased-risk-of-heart-attack-stroke")</f>
        <v>https://calgarysun.com/health/diet-fitness/sugar-substitute-xylitol-linked-to-increased-risk-of-heart-attack-stroke</v>
      </c>
      <c r="C1882" s="2" t="s">
        <v>2265</v>
      </c>
      <c r="D1882" s="3">
        <v>45453.340277777781</v>
      </c>
      <c r="E1882" s="2" t="s">
        <v>380</v>
      </c>
    </row>
    <row r="1883" spans="1:5" ht="70" x14ac:dyDescent="0.2">
      <c r="A1883" s="2" t="s">
        <v>257</v>
      </c>
      <c r="B1883" s="2" t="str">
        <f>HYPERLINK("https://edmontonsun.com/health/diet-fitness/sugar-substitute-xylitol-linked-to-increased-risk-of-heart-attack-stroke")</f>
        <v>https://edmontonsun.com/health/diet-fitness/sugar-substitute-xylitol-linked-to-increased-risk-of-heart-attack-stroke</v>
      </c>
      <c r="C1883" s="2" t="s">
        <v>2308</v>
      </c>
      <c r="D1883" s="3">
        <v>45453.340277777781</v>
      </c>
      <c r="E1883" s="2" t="s">
        <v>380</v>
      </c>
    </row>
    <row r="1884" spans="1:5" ht="70" x14ac:dyDescent="0.2">
      <c r="A1884" s="2" t="s">
        <v>257</v>
      </c>
      <c r="B1884" s="2" t="str">
        <f>HYPERLINK("https://ottawasun.com/health/diet-fitness/sugar-substitute-xylitol-linked-to-increased-risk-of-heart-attack-stroke")</f>
        <v>https://ottawasun.com/health/diet-fitness/sugar-substitute-xylitol-linked-to-increased-risk-of-heart-attack-stroke</v>
      </c>
      <c r="C1884" s="2" t="s">
        <v>2309</v>
      </c>
      <c r="D1884" s="3">
        <v>45453.340277777781</v>
      </c>
      <c r="E1884" s="2" t="s">
        <v>380</v>
      </c>
    </row>
    <row r="1885" spans="1:5" ht="70" x14ac:dyDescent="0.2">
      <c r="A1885" s="2" t="s">
        <v>257</v>
      </c>
      <c r="B1885" s="2" t="str">
        <f>HYPERLINK("https://windsorstar.com/health/diet-fitness/sugar-substitute-xylitol-linked-to-increased-risk-of-heart-attack-stroke")</f>
        <v>https://windsorstar.com/health/diet-fitness/sugar-substitute-xylitol-linked-to-increased-risk-of-heart-attack-stroke</v>
      </c>
      <c r="C1885" s="2" t="s">
        <v>2329</v>
      </c>
      <c r="D1885" s="3">
        <v>45453.340277777781</v>
      </c>
      <c r="E1885" s="2" t="s">
        <v>380</v>
      </c>
    </row>
    <row r="1886" spans="1:5" ht="70" x14ac:dyDescent="0.2">
      <c r="A1886" s="2" t="s">
        <v>257</v>
      </c>
      <c r="B1886" s="2" t="str">
        <f>HYPERLINK("https://winnipegsun.com/health/diet-fitness/sugar-substitute-xylitol-linked-to-increased-risk-of-heart-attack-stroke")</f>
        <v>https://winnipegsun.com/health/diet-fitness/sugar-substitute-xylitol-linked-to-increased-risk-of-heart-attack-stroke</v>
      </c>
      <c r="C1886" s="2" t="s">
        <v>2563</v>
      </c>
      <c r="D1886" s="3">
        <v>45453.340277777781</v>
      </c>
      <c r="E1886" s="2" t="s">
        <v>380</v>
      </c>
    </row>
    <row r="1887" spans="1:5" ht="70" x14ac:dyDescent="0.2">
      <c r="A1887" s="2" t="s">
        <v>4210</v>
      </c>
      <c r="B1887" s="2" t="str">
        <f>HYPERLINK("https://dimensiaktual.com/2024/06/pengganti-gula-xylitol-dikaitkan-dengan-peningkatan-risiko-serangan-jantung-dan-stroke/")</f>
        <v>https://dimensiaktual.com/2024/06/pengganti-gula-xylitol-dikaitkan-dengan-peningkatan-risiko-serangan-jantung-dan-stroke/</v>
      </c>
      <c r="C1887" s="2" t="s">
        <v>4211</v>
      </c>
      <c r="D1887" s="3">
        <v>45453.344594907408</v>
      </c>
      <c r="E1887" s="2" t="s">
        <v>4212</v>
      </c>
    </row>
    <row r="1888" spans="1:5" ht="70" x14ac:dyDescent="0.2">
      <c r="A1888" s="2" t="s">
        <v>257</v>
      </c>
      <c r="B1888" s="2" t="str">
        <f>HYPERLINK("https://torontosun.com/health/diet-fitness/sugar-substitute-xylitol-linked-to-increased-risk-of-heart-attack-stroke")</f>
        <v>https://torontosun.com/health/diet-fitness/sugar-substitute-xylitol-linked-to-increased-risk-of-heart-attack-stroke</v>
      </c>
      <c r="C1888" s="2" t="s">
        <v>3115</v>
      </c>
      <c r="D1888" s="3">
        <v>45453.345972222232</v>
      </c>
      <c r="E1888" s="2" t="s">
        <v>380</v>
      </c>
    </row>
    <row r="1889" spans="1:5" ht="70" x14ac:dyDescent="0.2">
      <c r="A1889" s="2" t="s">
        <v>257</v>
      </c>
      <c r="B1889" s="2" t="str">
        <f>HYPERLINK("https://edmontonjournal.com/health/diet-fitness/sugar-substitute-xylitol-linked-to-increased-risk-of-heart-attack-stroke")</f>
        <v>https://edmontonjournal.com/health/diet-fitness/sugar-substitute-xylitol-linked-to-increased-risk-of-heart-attack-stroke</v>
      </c>
      <c r="C1889" s="2" t="s">
        <v>3005</v>
      </c>
      <c r="D1889" s="3">
        <v>45453.352905092594</v>
      </c>
      <c r="E1889" s="2" t="s">
        <v>3006</v>
      </c>
    </row>
    <row r="1890" spans="1:5" ht="56" x14ac:dyDescent="0.2">
      <c r="A1890" s="2" t="s">
        <v>386</v>
      </c>
      <c r="B1890" s="2" t="str">
        <f>HYPERLINK("https://www.washingtonpost.com/wellness/2024/06/10/planetary-diet-lower-mortality/")</f>
        <v>https://www.washingtonpost.com/wellness/2024/06/10/planetary-diet-lower-mortality/</v>
      </c>
      <c r="C1890" s="2" t="s">
        <v>3634</v>
      </c>
      <c r="D1890" s="3">
        <v>45453.558506944442</v>
      </c>
      <c r="E1890" s="2" t="s">
        <v>387</v>
      </c>
    </row>
    <row r="1891" spans="1:5" ht="56" x14ac:dyDescent="0.2">
      <c r="A1891" s="2" t="s">
        <v>2213</v>
      </c>
      <c r="B1891" s="2" t="str">
        <f>HYPERLINK("https://www.adn.com/alaska-life/food-drink/2024/06/10/why-the-best-diet-for-you-is-also-good-for-the-planet/")</f>
        <v>https://www.adn.com/alaska-life/food-drink/2024/06/10/why-the-best-diet-for-you-is-also-good-for-the-planet/</v>
      </c>
      <c r="C1891" s="2" t="s">
        <v>2640</v>
      </c>
      <c r="D1891" s="3">
        <v>45453.603483796287</v>
      </c>
      <c r="E1891" s="2" t="s">
        <v>387</v>
      </c>
    </row>
    <row r="1892" spans="1:5" ht="56" x14ac:dyDescent="0.2">
      <c r="A1892" s="2" t="s">
        <v>386</v>
      </c>
      <c r="B1892" s="2" t="str">
        <f>HYPERLINK("https://health-reporter.news/planetary-health-diet-cuts-early-death-risk-new-study-shows/")</f>
        <v>https://health-reporter.news/planetary-health-diet-cuts-early-death-risk-new-study-shows/</v>
      </c>
      <c r="C1892" s="2" t="s">
        <v>222</v>
      </c>
      <c r="D1892" s="3">
        <v>45453.618449074071</v>
      </c>
      <c r="E1892" s="2" t="s">
        <v>387</v>
      </c>
    </row>
    <row r="1893" spans="1:5" ht="70" x14ac:dyDescent="0.2">
      <c r="A1893" s="2" t="s">
        <v>870</v>
      </c>
      <c r="B1893" s="2" t="str">
        <f>HYPERLINK("https://www.hechoencalifornia1010.com/una-dieta-saludable-para-el-planeta-reduce-el-riesgo-de-muerte-prematura-segun-muestra-un-nuevo-estudio-cbainfo/")</f>
        <v>https://www.hechoencalifornia1010.com/una-dieta-saludable-para-el-planeta-reduce-el-riesgo-de-muerte-prematura-segun-muestra-un-nuevo-estudio-cbainfo/</v>
      </c>
      <c r="C1893" s="2" t="s">
        <v>658</v>
      </c>
      <c r="D1893" s="3">
        <v>45453.648402777777</v>
      </c>
      <c r="E1893" s="2" t="s">
        <v>871</v>
      </c>
    </row>
    <row r="1894" spans="1:5" ht="196" x14ac:dyDescent="0.2">
      <c r="A1894" s="2" t="s">
        <v>2435</v>
      </c>
      <c r="B1894" s="2" t="str">
        <f>HYPERLINK("https://info.51.ca/articles/1317412")</f>
        <v>https://info.51.ca/articles/1317412</v>
      </c>
      <c r="C1894" s="2" t="s">
        <v>2436</v>
      </c>
      <c r="D1894" s="3">
        <v>45453.816666666673</v>
      </c>
      <c r="E1894" s="2" t="s">
        <v>2437</v>
      </c>
    </row>
    <row r="1895" spans="1:5" ht="196" x14ac:dyDescent="0.2">
      <c r="A1895" s="2" t="s">
        <v>1904</v>
      </c>
      <c r="B1895" s="2" t="str">
        <f>HYPERLINK("https://www.66.ca/portal.php?mod=view&amp;aid=574359")</f>
        <v>https://www.66.ca/portal.php?mod=view&amp;aid=574359</v>
      </c>
      <c r="C1895" s="2" t="s">
        <v>1905</v>
      </c>
      <c r="D1895" s="3">
        <v>45453.821203703701</v>
      </c>
      <c r="E1895" s="2" t="s">
        <v>1906</v>
      </c>
    </row>
    <row r="1896" spans="1:5" ht="70" x14ac:dyDescent="0.2">
      <c r="A1896" s="2" t="s">
        <v>1604</v>
      </c>
      <c r="B1896" s="2" t="str">
        <f>HYPERLINK("https://www.infobae.com/wapo/2024/06/11/por-que-una-mejor-dieta-para-usted-tambien-es-buena-para-el-planeta/")</f>
        <v>https://www.infobae.com/wapo/2024/06/11/por-que-una-mejor-dieta-para-usted-tambien-es-buena-para-el-planeta/</v>
      </c>
      <c r="C1896" s="2" t="s">
        <v>3689</v>
      </c>
      <c r="D1896" s="3">
        <v>45453.901886574073</v>
      </c>
      <c r="E1896" s="2" t="s">
        <v>1605</v>
      </c>
    </row>
    <row r="1897" spans="1:5" ht="70" x14ac:dyDescent="0.2">
      <c r="A1897" s="2" t="s">
        <v>1604</v>
      </c>
      <c r="B1897" s="2" t="str">
        <f>HYPERLINK("https://lado.mx/noticia.php?id=16034674")</f>
        <v>https://lado.mx/noticia.php?id=16034674</v>
      </c>
      <c r="C1897" s="2" t="s">
        <v>1599</v>
      </c>
      <c r="D1897" s="3">
        <v>45453.904062499998</v>
      </c>
      <c r="E1897" s="2" t="s">
        <v>1605</v>
      </c>
    </row>
    <row r="1898" spans="1:5" ht="98" x14ac:dyDescent="0.2">
      <c r="A1898" s="2" t="s">
        <v>1496</v>
      </c>
      <c r="B1898" s="2" t="str">
        <f>HYPERLINK("https://time.news/the-planet-well-being-weight-loss-program-scale-back-the-threat-of-untimely-demise-from-most-cancers-and-coronary-heart-illness/")</f>
        <v>https://time.news/the-planet-well-being-weight-loss-program-scale-back-the-threat-of-untimely-demise-from-most-cancers-and-coronary-heart-illness/</v>
      </c>
      <c r="C1898" s="2" t="s">
        <v>1497</v>
      </c>
      <c r="D1898" s="3">
        <v>45453.937268518523</v>
      </c>
      <c r="E1898" s="2" t="s">
        <v>1498</v>
      </c>
    </row>
    <row r="1899" spans="1:5" ht="70" x14ac:dyDescent="0.2">
      <c r="A1899" s="2" t="s">
        <v>1132</v>
      </c>
      <c r="B1899" s="2" t="str">
        <f>HYPERLINK("https://tenemosnoticias.com/internacionales/albertonews-com/por-que-una-mejor-dieta-para-usted-tambien-es-buena-para-el-planeta-albertonews/")</f>
        <v>https://tenemosnoticias.com/internacionales/albertonews-com/por-que-una-mejor-dieta-para-usted-tambien-es-buena-para-el-planeta-albertonews/</v>
      </c>
      <c r="C1899" s="2" t="s">
        <v>1133</v>
      </c>
      <c r="D1899" s="3">
        <v>45454.077916666669</v>
      </c>
      <c r="E1899" s="2" t="s">
        <v>1134</v>
      </c>
    </row>
    <row r="1900" spans="1:5" ht="56" x14ac:dyDescent="0.2">
      <c r="A1900" s="2" t="s">
        <v>2213</v>
      </c>
      <c r="B1900" s="2" t="str">
        <f>HYPERLINK("https://www.seattletimes.com/nation-world/why-the-best-diet-for-you-is-also-good-for-the-planet/")</f>
        <v>https://www.seattletimes.com/nation-world/why-the-best-diet-for-you-is-also-good-for-the-planet/</v>
      </c>
      <c r="C1900" s="2" t="s">
        <v>3375</v>
      </c>
      <c r="D1900" s="3">
        <v>45454.372650462959</v>
      </c>
      <c r="E1900" s="2" t="s">
        <v>387</v>
      </c>
    </row>
    <row r="1901" spans="1:5" ht="56" x14ac:dyDescent="0.2">
      <c r="A1901" s="2" t="s">
        <v>1631</v>
      </c>
      <c r="B1901" s="2" t="str">
        <f>HYPERLINK("https://ojoioeotrigo.com.br/2024/06/ultraprocessados-nao-tem-solucao/")</f>
        <v>https://ojoioeotrigo.com.br/2024/06/ultraprocessados-nao-tem-solucao/</v>
      </c>
      <c r="C1901" s="2" t="s">
        <v>1931</v>
      </c>
      <c r="D1901" s="3">
        <v>45454.375</v>
      </c>
      <c r="E1901" s="2" t="s">
        <v>1932</v>
      </c>
    </row>
    <row r="1902" spans="1:5" ht="56" x14ac:dyDescent="0.2">
      <c r="A1902" s="2" t="s">
        <v>3917</v>
      </c>
      <c r="B1902" s="2" t="str">
        <f>HYPERLINK("https://www.br104.com.br/saude/estudo-revela-que-adocante-pode-aumentar-risco-de-avc-e-infarto-confira/")</f>
        <v>https://www.br104.com.br/saude/estudo-revela-que-adocante-pode-aumentar-risco-de-avc-e-infarto-confira/</v>
      </c>
      <c r="C1902" s="2" t="s">
        <v>3918</v>
      </c>
      <c r="D1902" s="3">
        <v>45454.416006944448</v>
      </c>
      <c r="E1902" s="2" t="s">
        <v>3919</v>
      </c>
    </row>
    <row r="1903" spans="1:5" ht="56" x14ac:dyDescent="0.2">
      <c r="A1903" s="2" t="s">
        <v>2213</v>
      </c>
      <c r="B1903" s="2" t="str">
        <f>HYPERLINK("https://leaderpost.com/health/diet-fitness/why-the-best-diet-for-you-is-also-good-for-the-planet")</f>
        <v>https://leaderpost.com/health/diet-fitness/why-the-best-diet-for-you-is-also-good-for-the-planet</v>
      </c>
      <c r="C1903" s="2" t="s">
        <v>2212</v>
      </c>
      <c r="D1903" s="3">
        <v>45454.444502314807</v>
      </c>
      <c r="E1903" s="2" t="s">
        <v>387</v>
      </c>
    </row>
    <row r="1904" spans="1:5" ht="56" x14ac:dyDescent="0.2">
      <c r="A1904" s="2" t="s">
        <v>2213</v>
      </c>
      <c r="B1904" s="2" t="str">
        <f>HYPERLINK("https://canoe.com/health/diet-fitness/why-the-best-diet-for-you-is-also-good-for-the-planet")</f>
        <v>https://canoe.com/health/diet-fitness/why-the-best-diet-for-you-is-also-good-for-the-planet</v>
      </c>
      <c r="C1904" s="2" t="s">
        <v>2242</v>
      </c>
      <c r="D1904" s="3">
        <v>45454.444502314807</v>
      </c>
      <c r="E1904" s="2" t="s">
        <v>387</v>
      </c>
    </row>
    <row r="1905" spans="1:5" ht="56" x14ac:dyDescent="0.2">
      <c r="A1905" s="2" t="s">
        <v>2213</v>
      </c>
      <c r="B1905" s="2" t="str">
        <f>HYPERLINK("https://calgarysun.com/health/diet-fitness/why-the-best-diet-for-you-is-also-good-for-the-planet")</f>
        <v>https://calgarysun.com/health/diet-fitness/why-the-best-diet-for-you-is-also-good-for-the-planet</v>
      </c>
      <c r="C1905" s="2" t="s">
        <v>2265</v>
      </c>
      <c r="D1905" s="3">
        <v>45454.444502314807</v>
      </c>
      <c r="E1905" s="2" t="s">
        <v>387</v>
      </c>
    </row>
    <row r="1906" spans="1:5" ht="56" x14ac:dyDescent="0.2">
      <c r="A1906" s="2" t="s">
        <v>2213</v>
      </c>
      <c r="B1906" s="2" t="str">
        <f>HYPERLINK("https://edmontonsun.com/health/diet-fitness/why-the-best-diet-for-you-is-also-good-for-the-planet")</f>
        <v>https://edmontonsun.com/health/diet-fitness/why-the-best-diet-for-you-is-also-good-for-the-planet</v>
      </c>
      <c r="C1906" s="2" t="s">
        <v>2308</v>
      </c>
      <c r="D1906" s="3">
        <v>45454.444502314807</v>
      </c>
      <c r="E1906" s="2" t="s">
        <v>387</v>
      </c>
    </row>
    <row r="1907" spans="1:5" ht="56" x14ac:dyDescent="0.2">
      <c r="A1907" s="2" t="s">
        <v>2213</v>
      </c>
      <c r="B1907" s="2" t="str">
        <f>HYPERLINK("https://ottawasun.com/health/diet-fitness/why-the-best-diet-for-you-is-also-good-for-the-planet")</f>
        <v>https://ottawasun.com/health/diet-fitness/why-the-best-diet-for-you-is-also-good-for-the-planet</v>
      </c>
      <c r="C1907" s="2" t="s">
        <v>2309</v>
      </c>
      <c r="D1907" s="3">
        <v>45454.444502314807</v>
      </c>
      <c r="E1907" s="2" t="s">
        <v>387</v>
      </c>
    </row>
    <row r="1908" spans="1:5" ht="56" x14ac:dyDescent="0.2">
      <c r="A1908" s="2" t="s">
        <v>2213</v>
      </c>
      <c r="B1908" s="2" t="str">
        <f>HYPERLINK("https://windsorstar.com/health/diet-fitness/why-the-best-diet-for-you-is-also-good-for-the-planet")</f>
        <v>https://windsorstar.com/health/diet-fitness/why-the-best-diet-for-you-is-also-good-for-the-planet</v>
      </c>
      <c r="C1908" s="2" t="s">
        <v>2329</v>
      </c>
      <c r="D1908" s="3">
        <v>45454.444502314807</v>
      </c>
      <c r="E1908" s="2" t="s">
        <v>387</v>
      </c>
    </row>
    <row r="1909" spans="1:5" ht="56" x14ac:dyDescent="0.2">
      <c r="A1909" s="2" t="s">
        <v>2213</v>
      </c>
      <c r="B1909" s="2" t="str">
        <f>HYPERLINK("https://winnipegsun.com/health/diet-fitness/why-the-best-diet-for-you-is-also-good-for-the-planet")</f>
        <v>https://winnipegsun.com/health/diet-fitness/why-the-best-diet-for-you-is-also-good-for-the-planet</v>
      </c>
      <c r="C1909" s="2" t="s">
        <v>2563</v>
      </c>
      <c r="D1909" s="3">
        <v>45454.444502314807</v>
      </c>
      <c r="E1909" s="2" t="s">
        <v>387</v>
      </c>
    </row>
    <row r="1910" spans="1:5" ht="56" x14ac:dyDescent="0.2">
      <c r="A1910" s="2" t="s">
        <v>2213</v>
      </c>
      <c r="B1910" s="2" t="str">
        <f>HYPERLINK("https://torontosun.com/health/diet-fitness/why-the-best-diet-for-you-is-also-good-for-the-planet")</f>
        <v>https://torontosun.com/health/diet-fitness/why-the-best-diet-for-you-is-also-good-for-the-planet</v>
      </c>
      <c r="C1910" s="2" t="s">
        <v>3115</v>
      </c>
      <c r="D1910" s="3">
        <v>45454.449386574073</v>
      </c>
      <c r="E1910" s="2" t="s">
        <v>387</v>
      </c>
    </row>
    <row r="1911" spans="1:5" ht="56" x14ac:dyDescent="0.2">
      <c r="A1911" s="2" t="s">
        <v>2213</v>
      </c>
      <c r="B1911" s="2" t="str">
        <f>HYPERLINK("https://edmontonjournal.com/health/diet-fitness/why-the-best-diet-for-you-is-also-good-for-the-planet")</f>
        <v>https://edmontonjournal.com/health/diet-fitness/why-the-best-diet-for-you-is-also-good-for-the-planet</v>
      </c>
      <c r="C1911" s="2" t="s">
        <v>3005</v>
      </c>
      <c r="D1911" s="3">
        <v>45454.453136574077</v>
      </c>
      <c r="E1911" s="2" t="s">
        <v>387</v>
      </c>
    </row>
    <row r="1912" spans="1:5" ht="70" x14ac:dyDescent="0.2">
      <c r="A1912" s="2" t="s">
        <v>4102</v>
      </c>
      <c r="B1912" s="2" t="str">
        <f>HYPERLINK("https://wherethefoodcomesfrom.com/slowing-alzheimers-diet-and-other-lifestyle-changes-may-be-key-study-finds/")</f>
        <v>https://wherethefoodcomesfrom.com/slowing-alzheimers-diet-and-other-lifestyle-changes-may-be-key-study-finds/</v>
      </c>
      <c r="C1912" s="2" t="s">
        <v>3746</v>
      </c>
      <c r="D1912" s="3">
        <v>45454.594421296293</v>
      </c>
      <c r="E1912" s="2" t="s">
        <v>3747</v>
      </c>
    </row>
    <row r="1913" spans="1:5" ht="42" x14ac:dyDescent="0.2">
      <c r="A1913" s="2" t="s">
        <v>4090</v>
      </c>
      <c r="B1913" s="2" t="str">
        <f>HYPERLINK("https://indibloghub.com/post/a-healthy-diet-for-people-and-the-planet-new-study-reveals-benefits")</f>
        <v>https://indibloghub.com/post/a-healthy-diet-for-people-and-the-planet-new-study-reveals-benefits</v>
      </c>
      <c r="C1913" s="2" t="s">
        <v>4091</v>
      </c>
      <c r="D1913" s="3">
        <v>45455.020833333343</v>
      </c>
      <c r="E1913" s="2" t="s">
        <v>299</v>
      </c>
    </row>
    <row r="1914" spans="1:5" ht="42" x14ac:dyDescent="0.2">
      <c r="A1914" s="2" t="s">
        <v>297</v>
      </c>
      <c r="B1914" s="2" t="str">
        <f>HYPERLINK("https://healthcare360magazine.com/a-healthy-diet-for-people-and-the-planet/")</f>
        <v>https://healthcare360magazine.com/a-healthy-diet-for-people-and-the-planet/</v>
      </c>
      <c r="C1914" s="2" t="s">
        <v>298</v>
      </c>
      <c r="D1914" s="3">
        <v>45455.054305555554</v>
      </c>
      <c r="E1914" s="2" t="s">
        <v>299</v>
      </c>
    </row>
    <row r="1915" spans="1:5" ht="56" x14ac:dyDescent="0.2">
      <c r="A1915" s="2" t="s">
        <v>818</v>
      </c>
      <c r="B1915" s="2" t="str">
        <f>HYPERLINK("https://www.agri-pulse.com/articles/21230-latest-dietary-guidelines-advisory-committee-meeting-highlights-gaps-in-research")</f>
        <v>https://www.agri-pulse.com/articles/21230-latest-dietary-guidelines-advisory-committee-meeting-highlights-gaps-in-research</v>
      </c>
      <c r="C1915" s="2" t="s">
        <v>1308</v>
      </c>
      <c r="D1915" s="3">
        <v>45455.327233796299</v>
      </c>
      <c r="E1915" s="2" t="s">
        <v>819</v>
      </c>
    </row>
    <row r="1916" spans="1:5" ht="84" x14ac:dyDescent="0.2">
      <c r="A1916" s="2" t="s">
        <v>1295</v>
      </c>
      <c r="B1916" s="2" t="str">
        <f>HYPERLINK("https://www.nycfoodpolicy.org/40-under-40-the-rising-stars-in-nyc-food-policy-class-of-2024/")</f>
        <v>https://www.nycfoodpolicy.org/40-under-40-the-rising-stars-in-nyc-food-policy-class-of-2024/</v>
      </c>
      <c r="C1916" s="2" t="s">
        <v>1296</v>
      </c>
      <c r="D1916" s="3">
        <v>45455.424363425933</v>
      </c>
      <c r="E1916" s="2" t="s">
        <v>1297</v>
      </c>
    </row>
    <row r="1917" spans="1:5" ht="56" x14ac:dyDescent="0.2">
      <c r="A1917" s="2" t="s">
        <v>818</v>
      </c>
      <c r="B1917" s="2" t="str">
        <f>HYPERLINK("https://health-reporter.news/latest-dietary-guidelines-advisory-committee-meeting-highlights-gaps-in-research/")</f>
        <v>https://health-reporter.news/latest-dietary-guidelines-advisory-committee-meeting-highlights-gaps-in-research/</v>
      </c>
      <c r="C1917" s="2" t="s">
        <v>222</v>
      </c>
      <c r="D1917" s="3">
        <v>45455.44054398148</v>
      </c>
      <c r="E1917" s="2" t="s">
        <v>819</v>
      </c>
    </row>
    <row r="1918" spans="1:5" ht="84" x14ac:dyDescent="0.2">
      <c r="A1918" s="2" t="s">
        <v>1857</v>
      </c>
      <c r="B1918" s="2" t="str">
        <f>HYPERLINK("https://www.chelseagreen.com/2024/the-case-for-beef/")</f>
        <v>https://www.chelseagreen.com/2024/the-case-for-beef/</v>
      </c>
      <c r="C1918" s="2" t="s">
        <v>1858</v>
      </c>
      <c r="D1918" s="3">
        <v>45456.3903587963</v>
      </c>
      <c r="E1918" s="2" t="s">
        <v>1859</v>
      </c>
    </row>
    <row r="1919" spans="1:5" ht="56" x14ac:dyDescent="0.2">
      <c r="A1919" s="2" t="s">
        <v>1631</v>
      </c>
      <c r="B1919" s="2" t="str">
        <f>HYPERLINK("https://www.brasildefato.com.br/2024/06/13/a-industria-de-ultraprocessados-tem-solucao-caso-da-nestle-mostra-que-nao")</f>
        <v>https://www.brasildefato.com.br/2024/06/13/a-industria-de-ultraprocessados-tem-solucao-caso-da-nestle-mostra-que-nao</v>
      </c>
      <c r="C1919" s="2" t="s">
        <v>3196</v>
      </c>
      <c r="D1919" s="3">
        <v>45456.676516203697</v>
      </c>
      <c r="E1919" s="2" t="s">
        <v>1633</v>
      </c>
    </row>
    <row r="1920" spans="1:5" ht="56" x14ac:dyDescent="0.2">
      <c r="A1920" s="2" t="s">
        <v>1631</v>
      </c>
      <c r="B1920" s="2" t="str">
        <f>HYPERLINK("https://brasildefatorj.com.br/2024/06/13/a-industria-de-ultraprocessados-tem-solucao-caso-da-nestle-mostra-que-nao")</f>
        <v>https://brasildefatorj.com.br/2024/06/13/a-industria-de-ultraprocessados-tem-solucao-caso-da-nestle-mostra-que-nao</v>
      </c>
      <c r="C1920" s="2" t="s">
        <v>4133</v>
      </c>
      <c r="D1920" s="3">
        <v>45456.716527777768</v>
      </c>
      <c r="E1920" s="2" t="s">
        <v>1633</v>
      </c>
    </row>
    <row r="1921" spans="1:5" ht="56" x14ac:dyDescent="0.2">
      <c r="A1921" s="2" t="s">
        <v>1631</v>
      </c>
      <c r="B1921" s="2" t="str">
        <f>HYPERLINK("https://www.ihu.unisinos.br/categorias/640350-a-industria-de-ultraprocessados-tem-solucao-caso-da-nestle-mostra-que-nao")</f>
        <v>https://www.ihu.unisinos.br/categorias/640350-a-industria-de-ultraprocessados-tem-solucao-caso-da-nestle-mostra-que-nao</v>
      </c>
      <c r="C1921" s="2" t="s">
        <v>2602</v>
      </c>
      <c r="D1921" s="3">
        <v>45457</v>
      </c>
      <c r="E1921" s="2" t="s">
        <v>2603</v>
      </c>
    </row>
    <row r="1922" spans="1:5" ht="84" x14ac:dyDescent="0.2">
      <c r="A1922" s="2" t="s">
        <v>1557</v>
      </c>
      <c r="B1922" s="2" t="str">
        <f>HYPERLINK("https://www.blogarama.com/blogging-blogs/1452972-wellness-waterfall-mindfulness-holistic-health-personal-growth-blog/59112359-alarming-truths-food-industry-hides-about-ultra-processed-foods/")</f>
        <v>https://www.blogarama.com/blogging-blogs/1452972-wellness-waterfall-mindfulness-holistic-health-personal-growth-blog/59112359-alarming-truths-food-industry-hides-about-ultra-processed-foods/</v>
      </c>
      <c r="C1922" s="2" t="s">
        <v>1554</v>
      </c>
      <c r="D1922" s="3">
        <v>45458</v>
      </c>
      <c r="E1922" s="2" t="s">
        <v>1558</v>
      </c>
    </row>
    <row r="1923" spans="1:5" ht="70" x14ac:dyDescent="0.2">
      <c r="A1923" s="2" t="s">
        <v>2575</v>
      </c>
      <c r="B1923" s="2" t="str">
        <f>HYPERLINK("https://www.inkl.com/news/processed-foods-a-public-health-crisis")</f>
        <v>https://www.inkl.com/news/processed-foods-a-public-health-crisis</v>
      </c>
      <c r="C1923" s="2" t="s">
        <v>2569</v>
      </c>
      <c r="D1923" s="3">
        <v>45459.520891203712</v>
      </c>
      <c r="E1923" s="2" t="s">
        <v>415</v>
      </c>
    </row>
    <row r="1924" spans="1:5" ht="70" x14ac:dyDescent="0.2">
      <c r="A1924" s="2" t="s">
        <v>414</v>
      </c>
      <c r="B1924" s="2" t="str">
        <f>HYPERLINK("https://www.yahoo.com/lifestyle/processed-foods-hiding-plain-sight-163005239.html")</f>
        <v>https://www.yahoo.com/lifestyle/processed-foods-hiding-plain-sight-163005239.html</v>
      </c>
      <c r="C1924" s="2" t="s">
        <v>3726</v>
      </c>
      <c r="D1924" s="3">
        <v>45459.520891203712</v>
      </c>
      <c r="E1924" s="2" t="s">
        <v>415</v>
      </c>
    </row>
    <row r="1925" spans="1:5" ht="70" x14ac:dyDescent="0.2">
      <c r="A1925" s="2" t="s">
        <v>3315</v>
      </c>
      <c r="B1925" s="2" t="str">
        <f>HYPERLINK("https://www.salon.com/2024/06/16/processed-foods-are-hiding-in-plain-sight--and-that-could-be-a-big-public-health-problem/")</f>
        <v>https://www.salon.com/2024/06/16/processed-foods-are-hiding-in-plain-sight--and-that-could-be-a-big-public-health-problem/</v>
      </c>
      <c r="C1925" s="2" t="s">
        <v>3316</v>
      </c>
      <c r="D1925" s="3">
        <v>45459.526331018518</v>
      </c>
      <c r="E1925" s="2" t="s">
        <v>415</v>
      </c>
    </row>
    <row r="1926" spans="1:5" ht="70" x14ac:dyDescent="0.2">
      <c r="A1926" s="2" t="s">
        <v>3488</v>
      </c>
      <c r="B1926" s="2" t="str">
        <f>HYPERLINK("https://www.newsbreak.com/news/3493570401292-processed-foods-are-hiding-in-plain-sight-and-that-could-be-a-big-public-health-problem")</f>
        <v>https://www.newsbreak.com/news/3493570401292-processed-foods-are-hiding-in-plain-sight-and-that-could-be-a-big-public-health-problem</v>
      </c>
      <c r="C1926" s="2" t="s">
        <v>3461</v>
      </c>
      <c r="D1926" s="3">
        <v>45459.53052083333</v>
      </c>
      <c r="E1926" s="2" t="s">
        <v>415</v>
      </c>
    </row>
    <row r="1927" spans="1:5" ht="84" x14ac:dyDescent="0.2">
      <c r="A1927" s="2" t="s">
        <v>1447</v>
      </c>
      <c r="B1927" s="2" t="str">
        <f>HYPERLINK("https://www.nouvelles-du-monde.com/les-aliments-transformes-se-cachent-a-la-vue-de-tous-et-cela-pourrait-constituer-un-gros-probleme-de-sante-publique/")</f>
        <v>https://www.nouvelles-du-monde.com/les-aliments-transformes-se-cachent-a-la-vue-de-tous-et-cela-pourrait-constituer-un-gros-probleme-de-sante-publique/</v>
      </c>
      <c r="C1927" s="2" t="s">
        <v>1346</v>
      </c>
      <c r="D1927" s="3">
        <v>45459.532592592594</v>
      </c>
      <c r="E1927" s="2" t="s">
        <v>1448</v>
      </c>
    </row>
    <row r="1928" spans="1:5" ht="84" x14ac:dyDescent="0.2">
      <c r="A1928" s="2" t="s">
        <v>3770</v>
      </c>
      <c r="B1928" s="2" t="str">
        <f>HYPERLINK("https://newsfounded.com/southafrica/processed-foods-are-hiding-in-plain-sight-and-that-can-be-a-huge-public-health-problem/")</f>
        <v>https://newsfounded.com/southafrica/processed-foods-are-hiding-in-plain-sight-and-that-can-be-a-huge-public-health-problem/</v>
      </c>
      <c r="C1928" s="2" t="s">
        <v>3771</v>
      </c>
      <c r="D1928" s="3">
        <v>45459.537638888891</v>
      </c>
      <c r="E1928" s="2" t="s">
        <v>3772</v>
      </c>
    </row>
    <row r="1929" spans="1:5" ht="70" x14ac:dyDescent="0.2">
      <c r="A1929" s="2" t="s">
        <v>815</v>
      </c>
      <c r="B1929" s="2" t="str">
        <f>HYPERLINK("https://health-reporter.news/processed-foods-are-hiding-in-plain-sight-and-that-could-be-a-big-public-health-problem/")</f>
        <v>https://health-reporter.news/processed-foods-are-hiding-in-plain-sight-and-that-could-be-a-big-public-health-problem/</v>
      </c>
      <c r="C1929" s="2" t="s">
        <v>222</v>
      </c>
      <c r="D1929" s="3">
        <v>45459.585613425923</v>
      </c>
      <c r="E1929" s="2" t="s">
        <v>415</v>
      </c>
    </row>
    <row r="1930" spans="1:5" ht="70" x14ac:dyDescent="0.2">
      <c r="A1930" s="2" t="s">
        <v>414</v>
      </c>
      <c r="B1930" s="2" t="str">
        <f>HYPERLINK("https://pedfire.com/processed-foods-are-hiding-in-plain-sight-and-that-could-be-a-big-public-health-problem/")</f>
        <v>https://pedfire.com/processed-foods-are-hiding-in-plain-sight-and-that-could-be-a-big-public-health-problem/</v>
      </c>
      <c r="C1930" s="2" t="s">
        <v>446</v>
      </c>
      <c r="D1930" s="3">
        <v>45459.696631944447</v>
      </c>
      <c r="E1930" s="2" t="s">
        <v>415</v>
      </c>
    </row>
    <row r="1931" spans="1:5" ht="70" x14ac:dyDescent="0.2">
      <c r="A1931" s="2" t="s">
        <v>414</v>
      </c>
      <c r="B1931" s="2" t="str">
        <f>HYPERLINK("https://pressnewsagency.org/processed-foods-are-hiding-in-plain-sight-and-that-could-be-a-big-public-health-problem/")</f>
        <v>https://pressnewsagency.org/processed-foods-are-hiding-in-plain-sight-and-that-could-be-a-big-public-health-problem/</v>
      </c>
      <c r="C1931" s="2" t="s">
        <v>394</v>
      </c>
      <c r="D1931" s="3">
        <v>45459.722592592603</v>
      </c>
      <c r="E1931" s="2" t="s">
        <v>415</v>
      </c>
    </row>
    <row r="1932" spans="1:5" ht="84" x14ac:dyDescent="0.2">
      <c r="A1932" s="2" t="s">
        <v>257</v>
      </c>
      <c r="B1932" s="2" t="str">
        <f>HYPERLINK("https://www.sandiegouniontribune.com/news/health/story/2024-06-18/sugar-substitute-xylitol-linked-to-increased-risk-of-heart-attack-stroke/")</f>
        <v>https://www.sandiegouniontribune.com/news/health/story/2024-06-18/sugar-substitute-xylitol-linked-to-increased-risk-of-heart-attack-stroke/</v>
      </c>
      <c r="C1932" s="2" t="s">
        <v>3124</v>
      </c>
      <c r="D1932" s="3">
        <v>45461.34302083333</v>
      </c>
      <c r="E1932" s="2" t="s">
        <v>259</v>
      </c>
    </row>
    <row r="1933" spans="1:5" ht="84" x14ac:dyDescent="0.2">
      <c r="A1933" s="2" t="s">
        <v>257</v>
      </c>
      <c r="B1933" s="2" t="str">
        <f>HYPERLINK("https://californiadolphin.com/sugar-substitute-xylitol-linked-to-increased-risk-of-heart-attack-stroke/")</f>
        <v>https://californiadolphin.com/sugar-substitute-xylitol-linked-to-increased-risk-of-heart-attack-stroke/</v>
      </c>
      <c r="C1933" s="2" t="s">
        <v>258</v>
      </c>
      <c r="D1933" s="3">
        <v>45461.369826388887</v>
      </c>
      <c r="E1933" s="2" t="s">
        <v>259</v>
      </c>
    </row>
    <row r="1934" spans="1:5" ht="56" x14ac:dyDescent="0.2">
      <c r="A1934" s="2" t="s">
        <v>1631</v>
      </c>
      <c r="B1934" s="2" t="str">
        <f>HYPERLINK("https://br.edairynews.com/ultraprocessados-nestle-case/")</f>
        <v>https://br.edairynews.com/ultraprocessados-nestle-case/</v>
      </c>
      <c r="C1934" s="2" t="s">
        <v>1632</v>
      </c>
      <c r="D1934" s="3">
        <v>45461.370092592602</v>
      </c>
      <c r="E1934" s="2" t="s">
        <v>1633</v>
      </c>
    </row>
    <row r="1935" spans="1:5" ht="84" x14ac:dyDescent="0.2">
      <c r="A1935" s="2" t="s">
        <v>4177</v>
      </c>
      <c r="B1935" s="2" t="str">
        <f>HYPERLINK("https://cinemaniaz.biz/plass-bord-tv-spot-med-jeff-bridges-1149246")</f>
        <v>https://cinemaniaz.biz/plass-bord-tv-spot-med-jeff-bridges-1149246</v>
      </c>
      <c r="C1935" s="2" t="s">
        <v>4178</v>
      </c>
      <c r="D1935" s="3">
        <v>45461.576539351852</v>
      </c>
      <c r="E1935" s="2" t="s">
        <v>4179</v>
      </c>
    </row>
    <row r="1936" spans="1:5" ht="70" x14ac:dyDescent="0.2">
      <c r="A1936" s="2" t="s">
        <v>3564</v>
      </c>
      <c r="B1936" s="2" t="str">
        <f>HYPERLINK("https://www.hurriyet.com.tr/aile/asiri-islenmis-gidalari-ele-veren-9-ipucu-kararsiz-kaldiginizda-kendinize-bu-soruyu-sorun-42475547")</f>
        <v>https://www.hurriyet.com.tr/aile/asiri-islenmis-gidalari-ele-veren-9-ipucu-kararsiz-kaldiginizda-kendinize-bu-soruyu-sorun-42475547</v>
      </c>
      <c r="C1936" s="2" t="s">
        <v>3560</v>
      </c>
      <c r="D1936" s="3">
        <v>45462.072291666656</v>
      </c>
      <c r="E1936" s="2" t="s">
        <v>2268</v>
      </c>
    </row>
    <row r="1937" spans="1:5" ht="84" x14ac:dyDescent="0.2">
      <c r="A1937" s="2" t="s">
        <v>1696</v>
      </c>
      <c r="B1937" s="2" t="str">
        <f>HYPERLINK("https://www.syri.net/shendet/698301/studimi-ushqimet-ultra-te-perpunuara-lidhen-me-vdekjen-e-hershme-produktet-qe-duhet-te-shmangni/")</f>
        <v>https://www.syri.net/shendet/698301/studimi-ushqimet-ultra-te-perpunuara-lidhen-me-vdekjen-e-hershme-produktet-qe-duhet-te-shmangni/</v>
      </c>
      <c r="C1937" s="2" t="s">
        <v>2433</v>
      </c>
      <c r="D1937" s="3">
        <v>45462.289722222216</v>
      </c>
      <c r="E1937" s="2" t="s">
        <v>1698</v>
      </c>
    </row>
    <row r="1938" spans="1:5" ht="70" x14ac:dyDescent="0.2">
      <c r="A1938" s="2" t="s">
        <v>2266</v>
      </c>
      <c r="B1938" s="2" t="str">
        <f>HYPERLINK("https://www.risalehaber.com/asiri-islenmis-gidalardan-kesinlikle-uzak-durun-440580h.htm")</f>
        <v>https://www.risalehaber.com/asiri-islenmis-gidalardan-kesinlikle-uzak-durun-440580h.htm</v>
      </c>
      <c r="C1938" s="2" t="s">
        <v>2267</v>
      </c>
      <c r="D1938" s="3">
        <v>45462.313888888893</v>
      </c>
      <c r="E1938" s="2" t="s">
        <v>2268</v>
      </c>
    </row>
    <row r="1939" spans="1:5" ht="84" x14ac:dyDescent="0.2">
      <c r="A1939" s="2" t="s">
        <v>2339</v>
      </c>
      <c r="B1939" s="2" t="str">
        <f>HYPERLINK("https://boldnews.al/2024/06/19/ushqimet-ultra-te-perpunuara-lidhen-me-vdekjen-e-hershme-ja-cfare-duhet-te-shmangni/")</f>
        <v>https://boldnews.al/2024/06/19/ushqimet-ultra-te-perpunuara-lidhen-me-vdekjen-e-hershme-ja-cfare-duhet-te-shmangni/</v>
      </c>
      <c r="C1939" s="2" t="s">
        <v>3874</v>
      </c>
      <c r="D1939" s="3">
        <v>45462.395335648151</v>
      </c>
      <c r="E1939" s="2" t="s">
        <v>1698</v>
      </c>
    </row>
    <row r="1940" spans="1:5" ht="112" x14ac:dyDescent="0.2">
      <c r="A1940" s="2" t="s">
        <v>2339</v>
      </c>
      <c r="B1940" s="2" t="str">
        <f>HYPERLINK("https://www.oranews.tv/lifestyle/ushqimet-ultra-te-perpunuara-lidhen-me-n-e-hershme-ja-cfare-duhe-i1168213")</f>
        <v>https://www.oranews.tv/lifestyle/ushqimet-ultra-te-perpunuara-lidhen-me-n-e-hershme-ja-cfare-duhe-i1168213</v>
      </c>
      <c r="C1940" s="2" t="s">
        <v>2340</v>
      </c>
      <c r="D1940" s="3">
        <v>45462.462523148148</v>
      </c>
      <c r="E1940" s="2" t="s">
        <v>2341</v>
      </c>
    </row>
    <row r="1941" spans="1:5" ht="84" x14ac:dyDescent="0.2">
      <c r="A1941" s="2" t="s">
        <v>2339</v>
      </c>
      <c r="B1941" s="2" t="str">
        <f>HYPERLINK("https://lexo.al/2024/06/ushqimet-ultra-te-perpunuara-lidhen-me-vdekjen-e-hershme-ja-cfare-duhet-te-shmangni/")</f>
        <v>https://lexo.al/2024/06/ushqimet-ultra-te-perpunuara-lidhen-me-vdekjen-e-hershme-ja-cfare-duhet-te-shmangni/</v>
      </c>
      <c r="C1941" s="2" t="s">
        <v>4010</v>
      </c>
      <c r="D1941" s="3">
        <v>45462.467002314806</v>
      </c>
      <c r="E1941" s="2" t="s">
        <v>4011</v>
      </c>
    </row>
    <row r="1942" spans="1:5" ht="70" x14ac:dyDescent="0.2">
      <c r="A1942" s="2" t="s">
        <v>76</v>
      </c>
      <c r="B1942" s="2" t="str">
        <f>HYPERLINK("https://bitebi.com/weekend-reading-who-on-commercial-determinants-of-ncds/")</f>
        <v>https://bitebi.com/weekend-reading-who-on-commercial-determinants-of-ncds/</v>
      </c>
      <c r="C1942" s="2" t="s">
        <v>15</v>
      </c>
      <c r="D1942" s="3">
        <v>45463.406504629631</v>
      </c>
      <c r="E1942" s="2" t="s">
        <v>77</v>
      </c>
    </row>
    <row r="1943" spans="1:5" ht="70" x14ac:dyDescent="0.2">
      <c r="A1943" s="2" t="s">
        <v>2044</v>
      </c>
      <c r="B1943" s="2" t="str">
        <f>HYPERLINK("https://outraspalavras.net/desigualdades-mundo/a-luta-de-classes-na-comida-e-nos-corpos/")</f>
        <v>https://outraspalavras.net/desigualdades-mundo/a-luta-de-classes-na-comida-e-nos-corpos/</v>
      </c>
      <c r="C1943" s="2" t="s">
        <v>2544</v>
      </c>
      <c r="D1943" s="3">
        <v>45463.712465277778</v>
      </c>
      <c r="E1943" s="2" t="s">
        <v>2046</v>
      </c>
    </row>
    <row r="1944" spans="1:5" ht="154" x14ac:dyDescent="0.2">
      <c r="A1944" s="2" t="s">
        <v>1434</v>
      </c>
      <c r="B1944" s="2" t="str">
        <f>HYPERLINK("https://www.pubblicitaitalia.com/it/food/terra-madre-salone-del-gusto-2024")</f>
        <v>https://www.pubblicitaitalia.com/it/food/terra-madre-salone-del-gusto-2024</v>
      </c>
      <c r="C1944" s="2" t="s">
        <v>1435</v>
      </c>
      <c r="D1944" s="3">
        <v>45464</v>
      </c>
      <c r="E1944" s="2" t="s">
        <v>1436</v>
      </c>
    </row>
    <row r="1945" spans="1:5" ht="154" x14ac:dyDescent="0.2">
      <c r="A1945" s="2" t="s">
        <v>3455</v>
      </c>
      <c r="B1945" s="2" t="str">
        <f>HYPERLINK("https://jurnalpalopo.pikiran-rakyat.com/kesehatan/pr-438233871/rahasia-sehat-dan-bugar-panduan-lengkap-nutrisi-seimbang-untuk-tubuh-yang-prima?page=all")</f>
        <v>https://jurnalpalopo.pikiran-rakyat.com/kesehatan/pr-438233871/rahasia-sehat-dan-bugar-panduan-lengkap-nutrisi-seimbang-untuk-tubuh-yang-prima?page=all</v>
      </c>
      <c r="C1945" s="2" t="s">
        <v>3456</v>
      </c>
      <c r="D1945" s="3">
        <v>45464.041666666657</v>
      </c>
      <c r="E1945" s="2" t="s">
        <v>3457</v>
      </c>
    </row>
    <row r="1946" spans="1:5" ht="70" x14ac:dyDescent="0.2">
      <c r="A1946" s="2" t="s">
        <v>2044</v>
      </c>
      <c r="B1946" s="2" t="str">
        <f>HYPERLINK("https://racismoambiental.net.br/2024/06/21/a-luta-de-classes-na-comida-e-nos-corpos/")</f>
        <v>https://racismoambiental.net.br/2024/06/21/a-luta-de-classes-na-comida-e-nos-corpos/</v>
      </c>
      <c r="C1946" s="2" t="s">
        <v>3961</v>
      </c>
      <c r="D1946" s="3">
        <v>45464.325173611112</v>
      </c>
      <c r="E1946" s="2" t="s">
        <v>3962</v>
      </c>
    </row>
    <row r="1947" spans="1:5" ht="70" x14ac:dyDescent="0.2">
      <c r="A1947" s="2" t="s">
        <v>2044</v>
      </c>
      <c r="B1947" s="2" t="str">
        <f>HYPERLINK("https://alemdarena.blogspot.com/2024/06/a-luta-de-classes-na-comida-e-nos-corpos.html")</f>
        <v>https://alemdarena.blogspot.com/2024/06/a-luta-de-classes-na-comida-e-nos-corpos.html</v>
      </c>
      <c r="C1947" s="2" t="s">
        <v>3979</v>
      </c>
      <c r="D1947" s="3">
        <v>45464.652083333327</v>
      </c>
      <c r="E1947" s="2" t="s">
        <v>3962</v>
      </c>
    </row>
    <row r="1948" spans="1:5" ht="182" x14ac:dyDescent="0.2">
      <c r="A1948" s="2" t="s">
        <v>2044</v>
      </c>
      <c r="B1948" s="2" t="str">
        <f>HYPERLINK("https://www.ihu.unisinos.br/categorias/640598-a-luta-de-classes-na-comida-e-nos-corpos")</f>
        <v>https://www.ihu.unisinos.br/categorias/640598-a-luta-de-classes-na-comida-e-nos-corpos</v>
      </c>
      <c r="C1948" s="2" t="s">
        <v>2602</v>
      </c>
      <c r="D1948" s="3">
        <v>45465</v>
      </c>
      <c r="E1948" s="2" t="s">
        <v>2604</v>
      </c>
    </row>
    <row r="1949" spans="1:5" ht="98" x14ac:dyDescent="0.2">
      <c r="A1949" s="2" t="s">
        <v>4118</v>
      </c>
      <c r="B1949" s="2" t="str">
        <f>HYPERLINK("https://jurnalfaktual.id/rupa-rupa/rahasia-diet-sehat-resep-lezat-tips-jitu-dan-panduan-lengkap/")</f>
        <v>https://jurnalfaktual.id/rupa-rupa/rahasia-diet-sehat-resep-lezat-tips-jitu-dan-panduan-lengkap/</v>
      </c>
      <c r="C1949" s="2" t="s">
        <v>4119</v>
      </c>
      <c r="D1949" s="3">
        <v>45465.221932870372</v>
      </c>
      <c r="E1949" s="2" t="s">
        <v>4120</v>
      </c>
    </row>
    <row r="1950" spans="1:5" ht="70" x14ac:dyDescent="0.2">
      <c r="A1950" s="2" t="s">
        <v>2044</v>
      </c>
      <c r="B1950" s="2" t="str">
        <f>HYPERLINK("https://www.cfemea.org.br/index.php/pt/?view=article&amp;id=9579:a-luta-de-classes-na-comida-e-nos-corpos&amp;catid=564")</f>
        <v>https://www.cfemea.org.br/index.php/pt/?view=article&amp;id=9579:a-luta-de-classes-na-comida-e-nos-corpos&amp;catid=564</v>
      </c>
      <c r="C1950" s="2" t="s">
        <v>3920</v>
      </c>
      <c r="D1950" s="3">
        <v>45466.790983796287</v>
      </c>
      <c r="E1950" s="2" t="s">
        <v>2046</v>
      </c>
    </row>
    <row r="1951" spans="1:5" ht="84" x14ac:dyDescent="0.2">
      <c r="A1951" s="2" t="s">
        <v>64</v>
      </c>
      <c r="B1951" s="2" t="str">
        <f>HYPERLINK("https://dbrnews.com/news/ultra-processed-food-is-tasty-and-easy-is-it-bad-for-you/article_68a12b0b-965e-5e5c-bdfb-ed85f4b55be4.html")</f>
        <v>https://dbrnews.com/news/ultra-processed-food-is-tasty-and-easy-is-it-bad-for-you/article_68a12b0b-965e-5e5c-bdfb-ed85f4b55be4.html</v>
      </c>
      <c r="C1951" s="2" t="s">
        <v>591</v>
      </c>
      <c r="D1951" s="3">
        <v>45467</v>
      </c>
      <c r="E1951" s="2" t="s">
        <v>65</v>
      </c>
    </row>
    <row r="1952" spans="1:5" ht="84" x14ac:dyDescent="0.2">
      <c r="A1952" s="2" t="s">
        <v>64</v>
      </c>
      <c r="B1952" s="2" t="str">
        <f>HYPERLINK("https://heraldcourier.com/news/nation-world/business/ultra-processed-food-is-tasty-and-easy-is-it-bad-for-you/article_c0831b23-ff16-54be-9cf6-a337ff18ba03.html")</f>
        <v>https://heraldcourier.com/news/nation-world/business/ultra-processed-food-is-tasty-and-easy-is-it-bad-for-you/article_c0831b23-ff16-54be-9cf6-a337ff18ba03.html</v>
      </c>
      <c r="C1952" s="2" t="s">
        <v>1813</v>
      </c>
      <c r="D1952" s="3">
        <v>45467</v>
      </c>
      <c r="E1952" s="2" t="s">
        <v>65</v>
      </c>
    </row>
    <row r="1953" spans="1:5" ht="84" x14ac:dyDescent="0.2">
      <c r="A1953" s="2" t="s">
        <v>64</v>
      </c>
      <c r="B1953" s="2" t="str">
        <f>HYPERLINK("https://qconline.com/news/nation-world/business/ultra-processed-food-is-tasty-and-easy-is-it-bad-for-you/article_a329bf0f-5af2-5857-b454-3d026e27e7c5.html")</f>
        <v>https://qconline.com/news/nation-world/business/ultra-processed-food-is-tasty-and-easy-is-it-bad-for-you/article_a329bf0f-5af2-5857-b454-3d026e27e7c5.html</v>
      </c>
      <c r="C1953" s="2" t="s">
        <v>1977</v>
      </c>
      <c r="D1953" s="3">
        <v>45467</v>
      </c>
      <c r="E1953" s="2" t="s">
        <v>65</v>
      </c>
    </row>
    <row r="1954" spans="1:5" ht="84" x14ac:dyDescent="0.2">
      <c r="A1954" s="2" t="s">
        <v>64</v>
      </c>
      <c r="B1954" s="2" t="str">
        <f>HYPERLINK("https://www.hastingstribune.com/ap/food/ultra-processed-food-is-tasty-and-easy-is-it-bad-for-you/article_3ba20fc2-7cfe-5a4f-9156-68bb968c1b03.html")</f>
        <v>https://www.hastingstribune.com/ap/food/ultra-processed-food-is-tasty-and-easy-is-it-bad-for-you/article_3ba20fc2-7cfe-5a4f-9156-68bb968c1b03.html</v>
      </c>
      <c r="C1954" s="2" t="s">
        <v>2221</v>
      </c>
      <c r="D1954" s="3">
        <v>45467</v>
      </c>
      <c r="E1954" s="2" t="s">
        <v>65</v>
      </c>
    </row>
    <row r="1955" spans="1:5" ht="84" x14ac:dyDescent="0.2">
      <c r="A1955" s="2" t="s">
        <v>64</v>
      </c>
      <c r="B1955" s="2" t="str">
        <f>HYPERLINK("https://www.news8000.com/lifestyle/money/ultra-processed-food-is-tasty-and-easy-is-it-bad-for-you/article_8216d51e-8839-5b4f-ab78-5abf9d8049e3.html")</f>
        <v>https://www.news8000.com/lifestyle/money/ultra-processed-food-is-tasty-and-easy-is-it-bad-for-you/article_8216d51e-8839-5b4f-ab78-5abf9d8049e3.html</v>
      </c>
      <c r="C1955" s="2" t="s">
        <v>2192</v>
      </c>
      <c r="D1955" s="3">
        <v>45467</v>
      </c>
      <c r="E1955" s="2" t="s">
        <v>65</v>
      </c>
    </row>
    <row r="1956" spans="1:5" ht="84" x14ac:dyDescent="0.2">
      <c r="A1956" s="2" t="s">
        <v>64</v>
      </c>
      <c r="B1956" s="2" t="str">
        <f>HYPERLINK("https://www.channel3000.com/news/shareable-stories/ultra-processed-food-is-tasty-and-easy-is-it-bad-for-you/article_72018fba-6a67-56c7-8439-a2c088a624ab.html")</f>
        <v>https://www.channel3000.com/news/shareable-stories/ultra-processed-food-is-tasty-and-easy-is-it-bad-for-you/article_72018fba-6a67-56c7-8439-a2c088a624ab.html</v>
      </c>
      <c r="C1956" s="2" t="s">
        <v>2760</v>
      </c>
      <c r="D1956" s="3">
        <v>45467</v>
      </c>
      <c r="E1956" s="2" t="s">
        <v>65</v>
      </c>
    </row>
    <row r="1957" spans="1:5" ht="84" x14ac:dyDescent="0.2">
      <c r="A1957" s="2" t="s">
        <v>64</v>
      </c>
      <c r="B1957" s="2" t="str">
        <f>HYPERLINK("https://www.arcamax.com/healthandspirit/health/healthtips/s-3300120")</f>
        <v>https://www.arcamax.com/healthandspirit/health/healthtips/s-3300120</v>
      </c>
      <c r="C1957" s="2" t="s">
        <v>2841</v>
      </c>
      <c r="D1957" s="3">
        <v>45467</v>
      </c>
      <c r="E1957" s="2" t="s">
        <v>65</v>
      </c>
    </row>
    <row r="1958" spans="1:5" ht="84" x14ac:dyDescent="0.2">
      <c r="A1958" s="2" t="s">
        <v>64</v>
      </c>
      <c r="B1958" s="2" t="str">
        <f>HYPERLINK("https://www.arcamax.com/homeandleisure/recipes/varietymenu/s-3300121")</f>
        <v>https://www.arcamax.com/homeandleisure/recipes/varietymenu/s-3300121</v>
      </c>
      <c r="C1958" s="2" t="s">
        <v>2841</v>
      </c>
      <c r="D1958" s="3">
        <v>45467</v>
      </c>
      <c r="E1958" s="2" t="s">
        <v>65</v>
      </c>
    </row>
    <row r="1959" spans="1:5" ht="56" x14ac:dyDescent="0.2">
      <c r="A1959" s="2" t="s">
        <v>533</v>
      </c>
      <c r="B1959" s="2" t="str">
        <f>HYPERLINK("https://undark.org/2024/06/24/fuzzy-science-pets-improve-health/")</f>
        <v>https://undark.org/2024/06/24/fuzzy-science-pets-improve-health/</v>
      </c>
      <c r="C1959" s="2" t="s">
        <v>2109</v>
      </c>
      <c r="D1959" s="3">
        <v>45467.150057870371</v>
      </c>
      <c r="E1959" s="2" t="s">
        <v>508</v>
      </c>
    </row>
    <row r="1960" spans="1:5" ht="84" x14ac:dyDescent="0.2">
      <c r="A1960" s="2" t="s">
        <v>3065</v>
      </c>
      <c r="B1960" s="2" t="str">
        <f>HYPERLINK("https://medicalxpress.com/news/2024-06-ultra-food-tasty-easy-bad.html")</f>
        <v>https://medicalxpress.com/news/2024-06-ultra-food-tasty-easy-bad.html</v>
      </c>
      <c r="C1960" s="2" t="s">
        <v>3063</v>
      </c>
      <c r="D1960" s="3">
        <v>45467.287905092591</v>
      </c>
      <c r="E1960" s="2" t="s">
        <v>65</v>
      </c>
    </row>
    <row r="1961" spans="1:5" ht="56" x14ac:dyDescent="0.2">
      <c r="A1961" s="2" t="s">
        <v>507</v>
      </c>
      <c r="B1961" s="2" t="str">
        <f>HYPERLINK("https://wdctv.news/the-fuzzy-science-on-whether-your-pet-is-actually-good-for-you/")</f>
        <v>https://wdctv.news/the-fuzzy-science-on-whether-your-pet-is-actually-good-for-you/</v>
      </c>
      <c r="C1961" s="2" t="s">
        <v>346</v>
      </c>
      <c r="D1961" s="3">
        <v>45467.429351851853</v>
      </c>
      <c r="E1961" s="2" t="s">
        <v>508</v>
      </c>
    </row>
    <row r="1962" spans="1:5" ht="56" x14ac:dyDescent="0.2">
      <c r="A1962" s="2" t="s">
        <v>507</v>
      </c>
      <c r="B1962" s="2" t="str">
        <f>HYPERLINK("https://www.popsci.com/science/science-pets/")</f>
        <v>https://www.popsci.com/science/science-pets/</v>
      </c>
      <c r="C1962" s="2" t="s">
        <v>3219</v>
      </c>
      <c r="D1962" s="3">
        <v>45467.429351851853</v>
      </c>
      <c r="E1962" s="2" t="s">
        <v>508</v>
      </c>
    </row>
    <row r="1963" spans="1:5" ht="56" x14ac:dyDescent="0.2">
      <c r="A1963" s="2" t="s">
        <v>507</v>
      </c>
      <c r="B1963" s="2" t="str">
        <f>HYPERLINK("https://www.yahoo.com/lifestyle/fuzzy-science-whether-pet-actually-141816901.html")</f>
        <v>https://www.yahoo.com/lifestyle/fuzzy-science-whether-pet-actually-141816901.html</v>
      </c>
      <c r="C1963" s="2" t="s">
        <v>3726</v>
      </c>
      <c r="D1963" s="3">
        <v>45467.429351851853</v>
      </c>
      <c r="E1963" s="2" t="s">
        <v>508</v>
      </c>
    </row>
    <row r="1964" spans="1:5" ht="56" x14ac:dyDescent="0.2">
      <c r="A1964" s="2" t="s">
        <v>592</v>
      </c>
      <c r="B1964" s="2" t="str">
        <f>HYPERLINK("https://www.techwar.gr/16143/is-owning-a-pet-really-beneficial-for-your-health/")</f>
        <v>https://www.techwar.gr/16143/is-owning-a-pet-really-beneficial-for-your-health/</v>
      </c>
      <c r="C1964" s="2" t="s">
        <v>593</v>
      </c>
      <c r="D1964" s="3">
        <v>45467.510023148148</v>
      </c>
      <c r="E1964" s="2" t="s">
        <v>594</v>
      </c>
    </row>
    <row r="1965" spans="1:5" ht="70" x14ac:dyDescent="0.2">
      <c r="A1965" s="2" t="s">
        <v>4139</v>
      </c>
      <c r="B1965" s="2" t="str">
        <f>HYPERLINK("https://www.gamalivre.com.br/2024/06/a-luta-de-classes-na-comida-e-nos.html")</f>
        <v>https://www.gamalivre.com.br/2024/06/a-luta-de-classes-na-comida-e-nos.html</v>
      </c>
      <c r="C1965" s="2" t="s">
        <v>4140</v>
      </c>
      <c r="D1965" s="3">
        <v>45467.619444444441</v>
      </c>
      <c r="E1965" s="2" t="s">
        <v>4141</v>
      </c>
    </row>
    <row r="1966" spans="1:5" ht="98" x14ac:dyDescent="0.2">
      <c r="A1966" s="2" t="s">
        <v>725</v>
      </c>
      <c r="B1966" s="2" t="str">
        <f>HYPERLINK("https://canadanewsmedia.ca/n-s-news-hepatitis-a-case-found-ctv-news-ctv-news-atlantic/")</f>
        <v>https://canadanewsmedia.ca/n-s-news-hepatitis-a-case-found-ctv-news-ctv-news-atlantic/</v>
      </c>
      <c r="C1966" s="2" t="s">
        <v>721</v>
      </c>
      <c r="D1966" s="3">
        <v>45467.775648148148</v>
      </c>
      <c r="E1966" s="2" t="s">
        <v>102</v>
      </c>
    </row>
    <row r="1967" spans="1:5" ht="56" x14ac:dyDescent="0.2">
      <c r="A1967" s="2" t="s">
        <v>2249</v>
      </c>
      <c r="B1967" s="2" t="str">
        <f>HYPERLINK("https://www.realclearscience.com/articles/2024/06/25/are_pets_actually_good_for_you_maybe_not_1040180.html")</f>
        <v>https://www.realclearscience.com/articles/2024/06/25/are_pets_actually_good_for_you_maybe_not_1040180.html</v>
      </c>
      <c r="C1967" s="2" t="s">
        <v>2250</v>
      </c>
      <c r="D1967" s="3">
        <v>45467.892326388886</v>
      </c>
      <c r="E1967" s="2" t="s">
        <v>508</v>
      </c>
    </row>
    <row r="1968" spans="1:5" ht="42" x14ac:dyDescent="0.2">
      <c r="A1968" s="2" t="s">
        <v>973</v>
      </c>
      <c r="B1968" s="2" t="str">
        <f>HYPERLINK("https://www.yahoo.com/lifestyle/edward-norton-narrate-wellness-doc-140000124.html")</f>
        <v>https://www.yahoo.com/lifestyle/edward-norton-narrate-wellness-doc-140000124.html</v>
      </c>
      <c r="C1968" s="2" t="s">
        <v>3726</v>
      </c>
      <c r="D1968" s="3">
        <v>45468.416666666657</v>
      </c>
      <c r="E1968" s="2" t="s">
        <v>3735</v>
      </c>
    </row>
    <row r="1969" spans="1:5" ht="42" x14ac:dyDescent="0.2">
      <c r="A1969" s="2" t="s">
        <v>4012</v>
      </c>
      <c r="B1969" s="2" t="str">
        <f>HYPERLINK("https://oen.pl/edward-norton-opowie-dokument-post-i-rewolucja-dlugowiecznosci/")</f>
        <v>https://oen.pl/edward-norton-opowie-dokument-post-i-rewolucja-dlugowiecznosci/</v>
      </c>
      <c r="C1969" s="2" t="s">
        <v>4013</v>
      </c>
      <c r="D1969" s="3">
        <v>45468.416666666657</v>
      </c>
      <c r="E1969" s="2" t="s">
        <v>4014</v>
      </c>
    </row>
    <row r="1970" spans="1:5" ht="56" x14ac:dyDescent="0.2">
      <c r="A1970" s="2" t="s">
        <v>973</v>
      </c>
      <c r="B1970" s="2" t="str">
        <f>HYPERLINK("https://deadline.com/2024/06/edward-norton-fasting-and-the-longevity-revolution-documentary-barry-alexander-brown-1235980452/")</f>
        <v>https://deadline.com/2024/06/edward-norton-fasting-and-the-longevity-revolution-documentary-barry-alexander-brown-1235980452/</v>
      </c>
      <c r="C1970" s="2" t="s">
        <v>3536</v>
      </c>
      <c r="D1970" s="3">
        <v>45468.421979166669</v>
      </c>
      <c r="E1970" s="2" t="s">
        <v>975</v>
      </c>
    </row>
    <row r="1971" spans="1:5" ht="70" x14ac:dyDescent="0.2">
      <c r="A1971" s="2" t="s">
        <v>3901</v>
      </c>
      <c r="B1971" s="2" t="str">
        <f>HYPERLINK("https://wherethefoodcomesfrom.com/baby-formula-tragedy-blame-lies-with-fda-inspector-general-says/")</f>
        <v>https://wherethefoodcomesfrom.com/baby-formula-tragedy-blame-lies-with-fda-inspector-general-says/</v>
      </c>
      <c r="C1971" s="2" t="s">
        <v>3746</v>
      </c>
      <c r="D1971" s="3">
        <v>45468.433587962973</v>
      </c>
      <c r="E1971" s="2" t="s">
        <v>3747</v>
      </c>
    </row>
    <row r="1972" spans="1:5" ht="42" x14ac:dyDescent="0.2">
      <c r="A1972" s="2" t="s">
        <v>973</v>
      </c>
      <c r="B1972" s="2" t="str">
        <f>HYPERLINK("https://popstar.one/news/edward-norton-to-narrate-wellness-doc/1579349")</f>
        <v>https://popstar.one/news/edward-norton-to-narrate-wellness-doc/1579349</v>
      </c>
      <c r="C1972" s="2" t="s">
        <v>974</v>
      </c>
      <c r="D1972" s="3">
        <v>45468.438900462963</v>
      </c>
      <c r="E1972" s="2" t="s">
        <v>975</v>
      </c>
    </row>
    <row r="1973" spans="1:5" ht="56" x14ac:dyDescent="0.2">
      <c r="A1973" s="2" t="s">
        <v>2627</v>
      </c>
      <c r="B1973" s="2" t="str">
        <f>HYPERLINK("https://www.zmescience.com/ecology/animals-ecology/are-pets-good-mental-health/")</f>
        <v>https://www.zmescience.com/ecology/animals-ecology/are-pets-good-mental-health/</v>
      </c>
      <c r="C1973" s="2" t="s">
        <v>2628</v>
      </c>
      <c r="D1973" s="3">
        <v>45468.466631944437</v>
      </c>
      <c r="E1973" s="2" t="s">
        <v>508</v>
      </c>
    </row>
    <row r="1974" spans="1:5" ht="56" x14ac:dyDescent="0.2">
      <c r="A1974" s="2" t="s">
        <v>533</v>
      </c>
      <c r="B1974" s="2" t="str">
        <f>HYPERLINK("https://www.tusaludmag.com/article/fuzzy-science-whether-fido-actually-good")</f>
        <v>https://www.tusaludmag.com/article/fuzzy-science-whether-fido-actually-good</v>
      </c>
      <c r="C1974" s="2" t="s">
        <v>534</v>
      </c>
      <c r="D1974" s="3">
        <v>45468.486111111109</v>
      </c>
      <c r="E1974" s="2" t="s">
        <v>508</v>
      </c>
    </row>
    <row r="1975" spans="1:5" ht="56" x14ac:dyDescent="0.2">
      <c r="A1975" s="2" t="s">
        <v>533</v>
      </c>
      <c r="B1975" s="2" t="str">
        <f>HYPERLINK("https://www.realhealthmag.com/article/fuzzy-science-whether-fido-actually-good")</f>
        <v>https://www.realhealthmag.com/article/fuzzy-science-whether-fido-actually-good</v>
      </c>
      <c r="C1975" s="2" t="s">
        <v>1105</v>
      </c>
      <c r="D1975" s="3">
        <v>45468.486111111109</v>
      </c>
      <c r="E1975" s="2" t="s">
        <v>508</v>
      </c>
    </row>
    <row r="1976" spans="1:5" ht="56" x14ac:dyDescent="0.2">
      <c r="A1976" s="2" t="s">
        <v>533</v>
      </c>
      <c r="B1976" s="2" t="str">
        <f>HYPERLINK("https://www.cancerhealth.com/article/fuzzy-science-whether-fido-actually-good")</f>
        <v>https://www.cancerhealth.com/article/fuzzy-science-whether-fido-actually-good</v>
      </c>
      <c r="C1976" s="2" t="s">
        <v>1427</v>
      </c>
      <c r="D1976" s="3">
        <v>45468.486111111109</v>
      </c>
      <c r="E1976" s="2" t="s">
        <v>508</v>
      </c>
    </row>
    <row r="1977" spans="1:5" ht="56" x14ac:dyDescent="0.2">
      <c r="A1977" s="2" t="s">
        <v>533</v>
      </c>
      <c r="B1977" s="2" t="str">
        <f>HYPERLINK("https://www.poz.com/article/fuzzy-science-whether-fido-actually-good")</f>
        <v>https://www.poz.com/article/fuzzy-science-whether-fido-actually-good</v>
      </c>
      <c r="C1977" s="2" t="s">
        <v>2073</v>
      </c>
      <c r="D1977" s="3">
        <v>45468.493668981479</v>
      </c>
      <c r="E1977" s="2" t="s">
        <v>508</v>
      </c>
    </row>
    <row r="1978" spans="1:5" ht="84" x14ac:dyDescent="0.2">
      <c r="A1978" s="2" t="s">
        <v>509</v>
      </c>
      <c r="B1978" s="2" t="str">
        <f>HYPERLINK("https://newstextarea.com/deutsch/edward-norton-spricht-als-erzahler-in-der-wellness-doku-fasting-and-the-longevity-revolution-unter-der-regie-von-blackkklansman-herausgeber-barry-alexander-brown/")</f>
        <v>https://newstextarea.com/deutsch/edward-norton-spricht-als-erzahler-in-der-wellness-doku-fasting-and-the-longevity-revolution-unter-der-regie-von-blackkklansman-herausgeber-barry-alexander-brown/</v>
      </c>
      <c r="C1978" s="2" t="s">
        <v>510</v>
      </c>
      <c r="D1978" s="3">
        <v>45468.616481481477</v>
      </c>
      <c r="E1978" s="2" t="s">
        <v>511</v>
      </c>
    </row>
    <row r="1979" spans="1:5" ht="84" x14ac:dyDescent="0.2">
      <c r="A1979" s="2" t="s">
        <v>2980</v>
      </c>
      <c r="B1979" s="2" t="str">
        <f>HYPERLINK("https://www.broadwayworld.com/bwwtv/article/FASTING-AND-THE-LONGEVITY-REVOLUTION-Doc-In-The-Works-From-Edward-Norton-More-20240625")</f>
        <v>https://www.broadwayworld.com/bwwtv/article/FASTING-AND-THE-LONGEVITY-REVOLUTION-Doc-In-The-Works-From-Edward-Norton-More-20240625</v>
      </c>
      <c r="C1979" s="2" t="s">
        <v>2981</v>
      </c>
      <c r="D1979" s="3">
        <v>45468.713252314818</v>
      </c>
      <c r="E1979" s="2" t="s">
        <v>2982</v>
      </c>
    </row>
    <row r="1980" spans="1:5" ht="84" x14ac:dyDescent="0.2">
      <c r="A1980" s="2" t="s">
        <v>64</v>
      </c>
      <c r="B1980" s="2" t="str">
        <f>HYPERLINK("https://www.detroitnews.com/story/life/wellness/2024/06/25/ultra-processed-food-is-tasty-and-easy-is-it-bad-for-you/74197313007/")</f>
        <v>https://www.detroitnews.com/story/life/wellness/2024/06/25/ultra-processed-food-is-tasty-and-easy-is-it-bad-for-you/74197313007/</v>
      </c>
      <c r="C1980" s="2" t="s">
        <v>3191</v>
      </c>
      <c r="D1980" s="3">
        <v>45468.765659722223</v>
      </c>
      <c r="E1980" s="2" t="s">
        <v>3209</v>
      </c>
    </row>
    <row r="1981" spans="1:5" ht="84" x14ac:dyDescent="0.2">
      <c r="A1981" s="2" t="s">
        <v>64</v>
      </c>
      <c r="B1981" s="2" t="str">
        <f>HYPERLINK("https://fredericksburg.com/news/nation-world/business/ultra-processed-food-is-tasty-and-easy-is-it-bad-for-you/article_abf6b92a-51bc-530c-b38b-4108944df8b6.html")</f>
        <v>https://fredericksburg.com/news/nation-world/business/ultra-processed-food-is-tasty-and-easy-is-it-bad-for-you/article_abf6b92a-51bc-530c-b38b-4108944df8b6.html</v>
      </c>
      <c r="C1981" s="2" t="s">
        <v>1938</v>
      </c>
      <c r="D1981" s="3">
        <v>45468.902013888888</v>
      </c>
      <c r="E1981" s="2" t="s">
        <v>65</v>
      </c>
    </row>
    <row r="1982" spans="1:5" ht="84" x14ac:dyDescent="0.2">
      <c r="A1982" s="2" t="s">
        <v>64</v>
      </c>
      <c r="B1982" s="2" t="str">
        <f>HYPERLINK("https://nptelegraph.com/news/nation-world/business/ultra-processed-food-is-tasty-and-easy-is-it-bad-for-you/article_e7430a81-5a8f-57f2-95ea-fa70625c5ced.html")</f>
        <v>https://nptelegraph.com/news/nation-world/business/ultra-processed-food-is-tasty-and-easy-is-it-bad-for-you/article_e7430a81-5a8f-57f2-95ea-fa70625c5ced.html</v>
      </c>
      <c r="C1982" s="2" t="s">
        <v>1533</v>
      </c>
      <c r="D1982" s="3">
        <v>45468.902812499997</v>
      </c>
      <c r="E1982" s="2" t="s">
        <v>65</v>
      </c>
    </row>
    <row r="1983" spans="1:5" ht="84" x14ac:dyDescent="0.2">
      <c r="A1983" s="2" t="s">
        <v>64</v>
      </c>
      <c r="B1983" s="2" t="str">
        <f>HYPERLINK("https://dothaneagle.com/news/nation-world/business/ultra-processed-food-is-tasty-and-easy-is-it-bad-for-you/article_627544fb-9bab-5c66-b013-71b8a7a5ae18.html")</f>
        <v>https://dothaneagle.com/news/nation-world/business/ultra-processed-food-is-tasty-and-easy-is-it-bad-for-you/article_627544fb-9bab-5c66-b013-71b8a7a5ae18.html</v>
      </c>
      <c r="C1983" s="2" t="s">
        <v>1618</v>
      </c>
      <c r="D1983" s="3">
        <v>45468.9062037037</v>
      </c>
      <c r="E1983" s="2" t="s">
        <v>65</v>
      </c>
    </row>
    <row r="1984" spans="1:5" ht="84" x14ac:dyDescent="0.2">
      <c r="A1984" s="2" t="s">
        <v>64</v>
      </c>
      <c r="B1984" s="2" t="str">
        <f>HYPERLINK("https://roanoke.com/news/nation-world/business/ultra-processed-food-is-tasty-and-easy-is-it-bad-for-you/article_5e12e155-00c0-5794-8480-00621c21c945.html")</f>
        <v>https://roanoke.com/news/nation-world/business/ultra-processed-food-is-tasty-and-easy-is-it-bad-for-you/article_5e12e155-00c0-5794-8480-00621c21c945.html</v>
      </c>
      <c r="C1984" s="2" t="s">
        <v>2325</v>
      </c>
      <c r="D1984" s="3">
        <v>45469.125613425917</v>
      </c>
      <c r="E1984" s="2" t="s">
        <v>65</v>
      </c>
    </row>
    <row r="1985" spans="1:5" ht="84" x14ac:dyDescent="0.2">
      <c r="A1985" s="2" t="s">
        <v>4055</v>
      </c>
      <c r="B1985" s="2" t="str">
        <f>HYPERLINK("https://diadeajudar.com.br/ciencia-saude/junk-food-na-adolescencia-afeta-memoria-entenda-os-riscos/")</f>
        <v>https://diadeajudar.com.br/ciencia-saude/junk-food-na-adolescencia-afeta-memoria-entenda-os-riscos/</v>
      </c>
      <c r="C1985" s="2" t="s">
        <v>4056</v>
      </c>
      <c r="D1985" s="3">
        <v>45469.280671296299</v>
      </c>
      <c r="E1985" s="2" t="s">
        <v>4057</v>
      </c>
    </row>
    <row r="1986" spans="1:5" ht="84" x14ac:dyDescent="0.2">
      <c r="A1986" s="2" t="s">
        <v>64</v>
      </c>
      <c r="B1986" s="2" t="str">
        <f>HYPERLINK("https://www.rep-am.com/life-arts/food/2024/06/26/ultra-processed-food-is-tasty-and-easy-is-it-bad-for-you/")</f>
        <v>https://www.rep-am.com/life-arts/food/2024/06/26/ultra-processed-food-is-tasty-and-easy-is-it-bad-for-you/</v>
      </c>
      <c r="C1986" s="2" t="s">
        <v>2151</v>
      </c>
      <c r="D1986" s="3">
        <v>45469.41269675926</v>
      </c>
      <c r="E1986" s="2" t="s">
        <v>382</v>
      </c>
    </row>
    <row r="1987" spans="1:5" ht="84" x14ac:dyDescent="0.2">
      <c r="A1987" s="2" t="s">
        <v>64</v>
      </c>
      <c r="B1987" s="2" t="str">
        <f>HYPERLINK("https://mooresvilletribune.com/news/nation-world/business/ultra-processed-food-is-tasty-and-easy-is-it-bad-for-you/article_559650ae-d90f-5542-9a31-d03a701437a2.html")</f>
        <v>https://mooresvilletribune.com/news/nation-world/business/ultra-processed-food-is-tasty-and-easy-is-it-bad-for-you/article_559650ae-d90f-5542-9a31-d03a701437a2.html</v>
      </c>
      <c r="C1987" s="2" t="s">
        <v>1228</v>
      </c>
      <c r="D1987" s="3">
        <v>45469.671261574083</v>
      </c>
      <c r="E1987" s="2" t="s">
        <v>65</v>
      </c>
    </row>
    <row r="1988" spans="1:5" ht="84" x14ac:dyDescent="0.2">
      <c r="A1988" s="2" t="s">
        <v>64</v>
      </c>
      <c r="B1988" s="2" t="str">
        <f>HYPERLINK("https://usa-today-news.com/news/ultra-processed-food-is-tasty-and-easy-is-it-bad-for-you-3/")</f>
        <v>https://usa-today-news.com/news/ultra-processed-food-is-tasty-and-easy-is-it-bad-for-you-3/</v>
      </c>
      <c r="C1988" s="2" t="s">
        <v>570</v>
      </c>
      <c r="D1988" s="3">
        <v>45470</v>
      </c>
      <c r="E1988" s="2" t="s">
        <v>286</v>
      </c>
    </row>
    <row r="1989" spans="1:5" ht="84" x14ac:dyDescent="0.2">
      <c r="A1989" s="2" t="s">
        <v>64</v>
      </c>
      <c r="B1989" s="2" t="str">
        <f>HYPERLINK("https://www.blogarama.com/health-and-fitness-blogs/1395033-this-story-behind-better-solution-weight-loss-will-haunt-you-forever-blog/59343880-ultra-processed-food-tasty-easy-bad-for/")</f>
        <v>https://www.blogarama.com/health-and-fitness-blogs/1395033-this-story-behind-better-solution-weight-loss-will-haunt-you-forever-blog/59343880-ultra-processed-food-tasty-easy-bad-for/</v>
      </c>
      <c r="C1989" s="2" t="s">
        <v>1554</v>
      </c>
      <c r="D1989" s="3">
        <v>45470</v>
      </c>
      <c r="E1989" s="2" t="s">
        <v>286</v>
      </c>
    </row>
    <row r="1990" spans="1:5" ht="70" x14ac:dyDescent="0.2">
      <c r="A1990" s="2" t="s">
        <v>983</v>
      </c>
      <c r="B1990" s="2" t="str">
        <f>HYPERLINK("https://list23.com/3808000-netflix-has-put-together-a-list-of-17-of-its-food-related-films/")</f>
        <v>https://list23.com/3808000-netflix-has-put-together-a-list-of-17-of-its-food-related-films/</v>
      </c>
      <c r="C1990" s="2" t="s">
        <v>984</v>
      </c>
      <c r="D1990" s="3">
        <v>45470.356377314813</v>
      </c>
      <c r="E1990" s="2" t="s">
        <v>985</v>
      </c>
    </row>
    <row r="1991" spans="1:5" ht="42" x14ac:dyDescent="0.2">
      <c r="A1991" s="2" t="s">
        <v>2997</v>
      </c>
      <c r="B1991" s="2" t="str">
        <f>HYPERLINK("https://thecinemaholic.com/food-movies-netflix/")</f>
        <v>https://thecinemaholic.com/food-movies-netflix/</v>
      </c>
      <c r="C1991" s="2" t="s">
        <v>2998</v>
      </c>
      <c r="D1991" s="3">
        <v>45470.371828703697</v>
      </c>
      <c r="E1991" s="2" t="s">
        <v>2999</v>
      </c>
    </row>
    <row r="1992" spans="1:5" ht="98" x14ac:dyDescent="0.2">
      <c r="A1992" s="2" t="s">
        <v>1772</v>
      </c>
      <c r="B1992" s="2" t="str">
        <f>HYPERLINK("https://www.foodnavigator.com/Article/2024/06/27/beyond-sugar-salt-fat-rethinking-ultra-processed-foods-and-reform")</f>
        <v>https://www.foodnavigator.com/Article/2024/06/27/beyond-sugar-salt-fat-rethinking-ultra-processed-foods-and-reform</v>
      </c>
      <c r="C1992" s="2" t="s">
        <v>2127</v>
      </c>
      <c r="D1992" s="3">
        <v>45470.422222222223</v>
      </c>
      <c r="E1992" s="2" t="s">
        <v>1774</v>
      </c>
    </row>
    <row r="1993" spans="1:5" ht="98" x14ac:dyDescent="0.2">
      <c r="A1993" s="2" t="s">
        <v>1772</v>
      </c>
      <c r="B1993" s="2" t="str">
        <f>HYPERLINK("https://www.foodnavigator-usa.com/Article/2024/06/27/beyond-sugar-salt-fat-rethinking-ultra-processed-foods-and-reform")</f>
        <v>https://www.foodnavigator-usa.com/Article/2024/06/27/beyond-sugar-salt-fat-rethinking-ultra-processed-foods-and-reform</v>
      </c>
      <c r="C1993" s="2" t="s">
        <v>1773</v>
      </c>
      <c r="D1993" s="3">
        <v>45470.452407407407</v>
      </c>
      <c r="E1993" s="2" t="s">
        <v>1774</v>
      </c>
    </row>
    <row r="1994" spans="1:5" ht="84" x14ac:dyDescent="0.2">
      <c r="A1994" s="2" t="s">
        <v>64</v>
      </c>
      <c r="B1994" s="2" t="str">
        <f>HYPERLINK("https://www.uniondemocrat.com/lifestyle/article_4350b120-34a7-11ef-ae86-93d66e68b17b.html")</f>
        <v>https://www.uniondemocrat.com/lifestyle/article_4350b120-34a7-11ef-ae86-93d66e68b17b.html</v>
      </c>
      <c r="C1994" s="2" t="s">
        <v>1612</v>
      </c>
      <c r="D1994" s="3">
        <v>45470.559618055559</v>
      </c>
      <c r="E1994" s="2" t="s">
        <v>65</v>
      </c>
    </row>
    <row r="1995" spans="1:5" ht="84" x14ac:dyDescent="0.2">
      <c r="A1995" s="2" t="s">
        <v>64</v>
      </c>
      <c r="B1995" s="2" t="str">
        <f>HYPERLINK("https://www.advocate-news.com/2024/06/27/ultra-processed-food-is-tasty-and-easy-is-it-bad-for-you/")</f>
        <v>https://www.advocate-news.com/2024/06/27/ultra-processed-food-is-tasty-and-easy-is-it-bad-for-you/</v>
      </c>
      <c r="C1995" s="2" t="s">
        <v>1111</v>
      </c>
      <c r="D1995" s="3">
        <v>45470.681215277778</v>
      </c>
      <c r="E1995" s="2" t="s">
        <v>286</v>
      </c>
    </row>
    <row r="1996" spans="1:5" ht="84" x14ac:dyDescent="0.2">
      <c r="A1996" s="2" t="s">
        <v>64</v>
      </c>
      <c r="B1996" s="2" t="str">
        <f>HYPERLINK("https://www.whittierdailynews.com/2024/06/27/ultra-processed-food-is-tasty-and-easy-is-it-bad-for-you/")</f>
        <v>https://www.whittierdailynews.com/2024/06/27/ultra-processed-food-is-tasty-and-easy-is-it-bad-for-you/</v>
      </c>
      <c r="C1996" s="2" t="s">
        <v>1889</v>
      </c>
      <c r="D1996" s="3">
        <v>45470.681215277778</v>
      </c>
      <c r="E1996" s="2" t="s">
        <v>286</v>
      </c>
    </row>
    <row r="1997" spans="1:5" ht="84" x14ac:dyDescent="0.2">
      <c r="A1997" s="2" t="s">
        <v>64</v>
      </c>
      <c r="B1997" s="2" t="str">
        <f>HYPERLINK("https://www.theoaklandpress.com/2024/06/27/ultra-processed-food-is-tasty-and-easy-is-it-bad-for-you/")</f>
        <v>https://www.theoaklandpress.com/2024/06/27/ultra-processed-food-is-tasty-and-easy-is-it-bad-for-you/</v>
      </c>
      <c r="C1997" s="2" t="s">
        <v>2405</v>
      </c>
      <c r="D1997" s="3">
        <v>45470.681215277778</v>
      </c>
      <c r="E1997" s="2" t="s">
        <v>286</v>
      </c>
    </row>
    <row r="1998" spans="1:5" ht="84" x14ac:dyDescent="0.2">
      <c r="A1998" s="2" t="s">
        <v>64</v>
      </c>
      <c r="B1998" s="2" t="str">
        <f>HYPERLINK("https://www.willitsnews.com/2024/06/27/ultra-processed-food-is-tasty-and-easy-is-it-bad-for-you/")</f>
        <v>https://www.willitsnews.com/2024/06/27/ultra-processed-food-is-tasty-and-easy-is-it-bad-for-you/</v>
      </c>
      <c r="C1998" s="2" t="s">
        <v>969</v>
      </c>
      <c r="D1998" s="3">
        <v>45470.681979166657</v>
      </c>
      <c r="E1998" s="2" t="s">
        <v>286</v>
      </c>
    </row>
    <row r="1999" spans="1:5" ht="84" x14ac:dyDescent="0.2">
      <c r="A1999" s="2" t="s">
        <v>64</v>
      </c>
      <c r="B1999" s="2" t="str">
        <f>HYPERLINK("https://www.baltimoresun.com/2024/06/27/ultra-processed-food-is-tasty-and-easy-is-it-bad-for-you/")</f>
        <v>https://www.baltimoresun.com/2024/06/27/ultra-processed-food-is-tasty-and-easy-is-it-bad-for-you/</v>
      </c>
      <c r="C1999" s="2" t="s">
        <v>3079</v>
      </c>
      <c r="D1999" s="3">
        <v>45470.682002314818</v>
      </c>
      <c r="E1999" s="2" t="s">
        <v>65</v>
      </c>
    </row>
    <row r="2000" spans="1:5" ht="84" x14ac:dyDescent="0.2">
      <c r="A2000" s="2" t="s">
        <v>64</v>
      </c>
      <c r="B2000" s="2" t="str">
        <f>HYPERLINK("https://www.sbsun.com/2024/06/27/ultra-processed-food-is-tasty-and-easy-is-it-bad-for-you/")</f>
        <v>https://www.sbsun.com/2024/06/27/ultra-processed-food-is-tasty-and-easy-is-it-bad-for-you/</v>
      </c>
      <c r="C2000" s="2" t="s">
        <v>2414</v>
      </c>
      <c r="D2000" s="3">
        <v>45470.682175925933</v>
      </c>
      <c r="E2000" s="2" t="s">
        <v>286</v>
      </c>
    </row>
    <row r="2001" spans="1:5" ht="84" x14ac:dyDescent="0.2">
      <c r="A2001" s="2" t="s">
        <v>64</v>
      </c>
      <c r="B2001" s="2" t="str">
        <f>HYPERLINK("https://www.pottsmerc.com/2024/06/27/ultra-processed-food-is-tasty-and-easy-is-it-bad-for-you/")</f>
        <v>https://www.pottsmerc.com/2024/06/27/ultra-processed-food-is-tasty-and-easy-is-it-bad-for-you/</v>
      </c>
      <c r="C2001" s="2" t="s">
        <v>1925</v>
      </c>
      <c r="D2001" s="3">
        <v>45470.682245370372</v>
      </c>
      <c r="E2001" s="2" t="s">
        <v>286</v>
      </c>
    </row>
    <row r="2002" spans="1:5" ht="84" x14ac:dyDescent="0.2">
      <c r="A2002" s="2" t="s">
        <v>64</v>
      </c>
      <c r="B2002" s="2" t="str">
        <f>HYPERLINK("https://www.thereporteronline.com/2024/06/27/ultra-processed-food-is-tasty-and-easy-is-it-bad-for-you/")</f>
        <v>https://www.thereporteronline.com/2024/06/27/ultra-processed-food-is-tasty-and-easy-is-it-bad-for-you/</v>
      </c>
      <c r="C2002" s="2" t="s">
        <v>1804</v>
      </c>
      <c r="D2002" s="3">
        <v>45470.682349537034</v>
      </c>
      <c r="E2002" s="2" t="s">
        <v>286</v>
      </c>
    </row>
    <row r="2003" spans="1:5" ht="84" x14ac:dyDescent="0.2">
      <c r="A2003" s="2" t="s">
        <v>64</v>
      </c>
      <c r="B2003" s="2" t="str">
        <f>HYPERLINK("https://www.themorningsun.com/2024/06/27/ultra-processed-food-is-tasty-and-easy-is-it-bad-for-you/")</f>
        <v>https://www.themorningsun.com/2024/06/27/ultra-processed-food-is-tasty-and-easy-is-it-bad-for-you/</v>
      </c>
      <c r="C2003" s="2" t="s">
        <v>1829</v>
      </c>
      <c r="D2003" s="3">
        <v>45470.68246527778</v>
      </c>
      <c r="E2003" s="2" t="s">
        <v>286</v>
      </c>
    </row>
    <row r="2004" spans="1:5" ht="84" x14ac:dyDescent="0.2">
      <c r="A2004" s="2" t="s">
        <v>64</v>
      </c>
      <c r="B2004" s="2" t="str">
        <f>HYPERLINK("https://www.bostonherald.com/2024/06/27/ultra-processed-food-is-tasty-and-easy-is-it-bad-for-you/")</f>
        <v>https://www.bostonherald.com/2024/06/27/ultra-processed-food-is-tasty-and-easy-is-it-bad-for-you/</v>
      </c>
      <c r="C2004" s="2" t="s">
        <v>2963</v>
      </c>
      <c r="D2004" s="3">
        <v>45470.682685185187</v>
      </c>
      <c r="E2004" s="2" t="s">
        <v>286</v>
      </c>
    </row>
    <row r="2005" spans="1:5" ht="84" x14ac:dyDescent="0.2">
      <c r="A2005" s="2" t="s">
        <v>64</v>
      </c>
      <c r="B2005" s="2" t="str">
        <f>HYPERLINK("https://www.dailydemocrat.com/2024/06/27/ultra-processed-food-is-tasty-and-easy-is-it-bad-for-you/")</f>
        <v>https://www.dailydemocrat.com/2024/06/27/ultra-processed-food-is-tasty-and-easy-is-it-bad-for-you/</v>
      </c>
      <c r="C2005" s="2" t="s">
        <v>1814</v>
      </c>
      <c r="D2005" s="3">
        <v>45470.68273148148</v>
      </c>
      <c r="E2005" s="2" t="s">
        <v>286</v>
      </c>
    </row>
    <row r="2006" spans="1:5" ht="84" x14ac:dyDescent="0.2">
      <c r="A2006" s="2" t="s">
        <v>64</v>
      </c>
      <c r="B2006" s="2" t="str">
        <f>HYPERLINK("https://www.macombdaily.com/2024/06/27/ultra-processed-food-is-tasty-and-easy-is-it-bad-for-you/")</f>
        <v>https://www.macombdaily.com/2024/06/27/ultra-processed-food-is-tasty-and-easy-is-it-bad-for-you/</v>
      </c>
      <c r="C2006" s="2" t="s">
        <v>2264</v>
      </c>
      <c r="D2006" s="3">
        <v>45470.68273148148</v>
      </c>
      <c r="E2006" s="2" t="s">
        <v>286</v>
      </c>
    </row>
    <row r="2007" spans="1:5" ht="84" x14ac:dyDescent="0.2">
      <c r="A2007" s="2" t="s">
        <v>64</v>
      </c>
      <c r="B2007" s="2" t="str">
        <f>HYPERLINK("https://www.redbluffdailynews.com/2024/06/27/ultra-processed-food-is-tasty-and-easy-is-it-bad-for-you/")</f>
        <v>https://www.redbluffdailynews.com/2024/06/27/ultra-processed-food-is-tasty-and-easy-is-it-bad-for-you/</v>
      </c>
      <c r="C2007" s="2" t="s">
        <v>1397</v>
      </c>
      <c r="D2007" s="3">
        <v>45470.682858796303</v>
      </c>
      <c r="E2007" s="2" t="s">
        <v>286</v>
      </c>
    </row>
    <row r="2008" spans="1:5" ht="84" x14ac:dyDescent="0.2">
      <c r="A2008" s="2" t="s">
        <v>64</v>
      </c>
      <c r="B2008" s="2" t="str">
        <f>HYPERLINK("https://www.dailybreeze.com/2024/06/27/ultra-processed-food-is-tasty-and-easy-is-it-bad-for-you/")</f>
        <v>https://www.dailybreeze.com/2024/06/27/ultra-processed-food-is-tasty-and-easy-is-it-bad-for-you/</v>
      </c>
      <c r="C2008" s="2" t="s">
        <v>2474</v>
      </c>
      <c r="D2008" s="3">
        <v>45470.682858796303</v>
      </c>
      <c r="E2008" s="2" t="s">
        <v>286</v>
      </c>
    </row>
    <row r="2009" spans="1:5" ht="84" x14ac:dyDescent="0.2">
      <c r="A2009" s="2" t="s">
        <v>64</v>
      </c>
      <c r="B2009" s="2" t="str">
        <f>HYPERLINK("https://www.thenewsherald.com/2024/06/27/ultra-processed-food-is-tasty-and-easy-is-it-bad-for-you/")</f>
        <v>https://www.thenewsherald.com/2024/06/27/ultra-processed-food-is-tasty-and-easy-is-it-bad-for-you/</v>
      </c>
      <c r="C2009" s="2" t="s">
        <v>2023</v>
      </c>
      <c r="D2009" s="3">
        <v>45470.682893518519</v>
      </c>
      <c r="E2009" s="2" t="s">
        <v>286</v>
      </c>
    </row>
    <row r="2010" spans="1:5" ht="84" x14ac:dyDescent="0.2">
      <c r="A2010" s="2" t="s">
        <v>64</v>
      </c>
      <c r="B2010" s="2" t="str">
        <f>HYPERLINK("https://www.dailypress.com/2024/06/27/ultra-processed-food-is-tasty-and-easy-is-it-bad-for-you/")</f>
        <v>https://www.dailypress.com/2024/06/27/ultra-processed-food-is-tasty-and-easy-is-it-bad-for-you/</v>
      </c>
      <c r="C2010" s="2" t="s">
        <v>2417</v>
      </c>
      <c r="D2010" s="3">
        <v>45470.682905092603</v>
      </c>
      <c r="E2010" s="2" t="s">
        <v>286</v>
      </c>
    </row>
    <row r="2011" spans="1:5" ht="84" x14ac:dyDescent="0.2">
      <c r="A2011" s="2" t="s">
        <v>64</v>
      </c>
      <c r="B2011" s="2" t="str">
        <f>HYPERLINK("https://www.troyrecord.com/2024/06/27/ultra-processed-food-is-tasty-and-easy-is-it-bad-for-you/")</f>
        <v>https://www.troyrecord.com/2024/06/27/ultra-processed-food-is-tasty-and-easy-is-it-bad-for-you/</v>
      </c>
      <c r="C2011" s="2" t="s">
        <v>1426</v>
      </c>
      <c r="D2011" s="3">
        <v>45470.682974537027</v>
      </c>
      <c r="E2011" s="2" t="s">
        <v>286</v>
      </c>
    </row>
    <row r="2012" spans="1:5" ht="84" x14ac:dyDescent="0.2">
      <c r="A2012" s="2" t="s">
        <v>64</v>
      </c>
      <c r="B2012" s="2" t="str">
        <f>HYPERLINK("https://www.pasadenastarnews.com/2024/06/27/ultra-processed-food-is-tasty-and-easy-is-it-bad-for-you/")</f>
        <v>https://www.pasadenastarnews.com/2024/06/27/ultra-processed-food-is-tasty-and-easy-is-it-bad-for-you/</v>
      </c>
      <c r="C2012" s="2" t="s">
        <v>2131</v>
      </c>
      <c r="D2012" s="3">
        <v>45470.682974537027</v>
      </c>
      <c r="E2012" s="2" t="s">
        <v>65</v>
      </c>
    </row>
    <row r="2013" spans="1:5" ht="84" x14ac:dyDescent="0.2">
      <c r="A2013" s="2" t="s">
        <v>64</v>
      </c>
      <c r="B2013" s="2" t="str">
        <f>HYPERLINK("https://www.presstelegram.com/2024/06/27/ultra-processed-food-is-tasty-and-easy-is-it-bad-for-you/")</f>
        <v>https://www.presstelegram.com/2024/06/27/ultra-processed-food-is-tasty-and-easy-is-it-bad-for-you/</v>
      </c>
      <c r="C2013" s="2" t="s">
        <v>2281</v>
      </c>
      <c r="D2013" s="3">
        <v>45470.682974537027</v>
      </c>
      <c r="E2013" s="2" t="s">
        <v>286</v>
      </c>
    </row>
    <row r="2014" spans="1:5" ht="84" x14ac:dyDescent="0.2">
      <c r="A2014" s="2" t="s">
        <v>64</v>
      </c>
      <c r="B2014" s="2" t="str">
        <f>HYPERLINK("https://www.orlandosentinel.com/2024/06/27/ultra-processed-food-is-tasty-and-easy-is-it-bad-for-you/")</f>
        <v>https://www.orlandosentinel.com/2024/06/27/ultra-processed-food-is-tasty-and-easy-is-it-bad-for-you/</v>
      </c>
      <c r="C2014" s="2" t="s">
        <v>2970</v>
      </c>
      <c r="D2014" s="3">
        <v>45470.682997685188</v>
      </c>
      <c r="E2014" s="2" t="s">
        <v>286</v>
      </c>
    </row>
    <row r="2015" spans="1:5" ht="84" x14ac:dyDescent="0.2">
      <c r="A2015" s="2" t="s">
        <v>64</v>
      </c>
      <c r="B2015" s="2" t="str">
        <f>HYPERLINK("https://www.pressandguide.com/2024/06/27/ultra-processed-food-is-tasty-and-easy-is-it-bad-for-you/")</f>
        <v>https://www.pressandguide.com/2024/06/27/ultra-processed-food-is-tasty-and-easy-is-it-bad-for-you/</v>
      </c>
      <c r="C2015" s="2" t="s">
        <v>1370</v>
      </c>
      <c r="D2015" s="3">
        <v>45470.683078703703</v>
      </c>
      <c r="E2015" s="2" t="s">
        <v>286</v>
      </c>
    </row>
    <row r="2016" spans="1:5" ht="84" x14ac:dyDescent="0.2">
      <c r="A2016" s="2" t="s">
        <v>64</v>
      </c>
      <c r="B2016" s="2" t="str">
        <f>HYPERLINK("https://www.dailybulletin.com/2024/06/27/ultra-processed-food-is-tasty-and-easy-is-it-bad-for-you/")</f>
        <v>https://www.dailybulletin.com/2024/06/27/ultra-processed-food-is-tasty-and-easy-is-it-bad-for-you/</v>
      </c>
      <c r="C2016" s="2" t="s">
        <v>2014</v>
      </c>
      <c r="D2016" s="3">
        <v>45470.683136574073</v>
      </c>
      <c r="E2016" s="2" t="s">
        <v>286</v>
      </c>
    </row>
    <row r="2017" spans="1:5" ht="84" x14ac:dyDescent="0.2">
      <c r="A2017" s="2" t="s">
        <v>64</v>
      </c>
      <c r="B2017" s="2" t="str">
        <f>HYPERLINK("https://www.voicenews.com/2024/06/27/ultra-processed-food-is-tasty-and-easy-is-it-bad-for-you/")</f>
        <v>https://www.voicenews.com/2024/06/27/ultra-processed-food-is-tasty-and-easy-is-it-bad-for-you/</v>
      </c>
      <c r="C2017" s="2" t="s">
        <v>1292</v>
      </c>
      <c r="D2017" s="3">
        <v>45470.683252314811</v>
      </c>
      <c r="E2017" s="2" t="s">
        <v>286</v>
      </c>
    </row>
    <row r="2018" spans="1:5" ht="84" x14ac:dyDescent="0.2">
      <c r="A2018" s="2" t="s">
        <v>64</v>
      </c>
      <c r="B2018" s="2" t="str">
        <f>HYPERLINK("https://www.ocregister.com/2024/06/27/ultra-processed-food-is-tasty-and-easy-is-it-bad-for-you/")</f>
        <v>https://www.ocregister.com/2024/06/27/ultra-processed-food-is-tasty-and-easy-is-it-bad-for-you/</v>
      </c>
      <c r="C2018" s="2" t="s">
        <v>3103</v>
      </c>
      <c r="D2018" s="3">
        <v>45470.683252314811</v>
      </c>
      <c r="E2018" s="2" t="s">
        <v>286</v>
      </c>
    </row>
    <row r="2019" spans="1:5" ht="84" x14ac:dyDescent="0.2">
      <c r="A2019" s="2" t="s">
        <v>64</v>
      </c>
      <c r="B2019" s="2" t="str">
        <f>HYPERLINK("https://www.morningjournal.com/2024/06/27/ultra-processed-food-is-tasty-and-easy-is-it-bad-for-you/")</f>
        <v>https://www.morningjournal.com/2024/06/27/ultra-processed-food-is-tasty-and-easy-is-it-bad-for-you/</v>
      </c>
      <c r="C2019" s="2" t="s">
        <v>2083</v>
      </c>
      <c r="D2019" s="3">
        <v>45470.683310185188</v>
      </c>
      <c r="E2019" s="2" t="s">
        <v>286</v>
      </c>
    </row>
    <row r="2020" spans="1:5" ht="84" x14ac:dyDescent="0.2">
      <c r="A2020" s="2" t="s">
        <v>64</v>
      </c>
      <c r="B2020" s="2" t="str">
        <f>HYPERLINK("https://www.dailytribune.com/2024/06/27/ultra-processed-food-is-tasty-and-easy-is-it-bad-for-you/")</f>
        <v>https://www.dailytribune.com/2024/06/27/ultra-processed-food-is-tasty-and-easy-is-it-bad-for-you/</v>
      </c>
      <c r="C2020" s="2" t="s">
        <v>1438</v>
      </c>
      <c r="D2020" s="3">
        <v>45470.683379629627</v>
      </c>
      <c r="E2020" s="2" t="s">
        <v>286</v>
      </c>
    </row>
    <row r="2021" spans="1:5" ht="84" x14ac:dyDescent="0.2">
      <c r="A2021" s="2" t="s">
        <v>64</v>
      </c>
      <c r="B2021" s="2" t="str">
        <f>HYPERLINK("https://www.trentonian.com/2024/06/27/ultra-processed-food-is-tasty-and-easy-is-it-bad-for-you/")</f>
        <v>https://www.trentonian.com/2024/06/27/ultra-processed-food-is-tasty-and-easy-is-it-bad-for-you/</v>
      </c>
      <c r="C2021" s="2" t="s">
        <v>1941</v>
      </c>
      <c r="D2021" s="3">
        <v>45470.68340277778</v>
      </c>
      <c r="E2021" s="2" t="s">
        <v>286</v>
      </c>
    </row>
    <row r="2022" spans="1:5" ht="84" x14ac:dyDescent="0.2">
      <c r="A2022" s="2" t="s">
        <v>64</v>
      </c>
      <c r="B2022" s="2" t="str">
        <f>HYPERLINK("https://www.times-standard.com/2024/06/27/ultra-processed-food-is-tasty-and-easy-is-it-bad-for-you/")</f>
        <v>https://www.times-standard.com/2024/06/27/ultra-processed-food-is-tasty-and-easy-is-it-bad-for-you/</v>
      </c>
      <c r="C2022" s="2" t="s">
        <v>2092</v>
      </c>
      <c r="D2022" s="3">
        <v>45470.68372685185</v>
      </c>
      <c r="E2022" s="2" t="s">
        <v>286</v>
      </c>
    </row>
    <row r="2023" spans="1:5" ht="84" x14ac:dyDescent="0.2">
      <c r="A2023" s="2" t="s">
        <v>64</v>
      </c>
      <c r="B2023" s="2" t="str">
        <f>HYPERLINK("https://www.sentinelandenterprise.com/2024/06/27/ultra-processed-food-is-tasty-and-easy-is-it-bad-for-you/")</f>
        <v>https://www.sentinelandenterprise.com/2024/06/27/ultra-processed-food-is-tasty-and-easy-is-it-bad-for-you/</v>
      </c>
      <c r="C2023" s="2" t="s">
        <v>1768</v>
      </c>
      <c r="D2023" s="3">
        <v>45470.68377314815</v>
      </c>
      <c r="E2023" s="2" t="s">
        <v>286</v>
      </c>
    </row>
    <row r="2024" spans="1:5" ht="84" x14ac:dyDescent="0.2">
      <c r="A2024" s="2" t="s">
        <v>64</v>
      </c>
      <c r="B2024" s="2" t="str">
        <f>HYPERLINK("https://www.mcall.com/2024/06/27/ultra-processed-food-is-tasty-and-easy-is-it-bad-for-you/")</f>
        <v>https://www.mcall.com/2024/06/27/ultra-processed-food-is-tasty-and-easy-is-it-bad-for-you/</v>
      </c>
      <c r="C2024" s="2" t="s">
        <v>2655</v>
      </c>
      <c r="D2024" s="3">
        <v>45470.68378472222</v>
      </c>
      <c r="E2024" s="2" t="s">
        <v>286</v>
      </c>
    </row>
    <row r="2025" spans="1:5" ht="84" x14ac:dyDescent="0.2">
      <c r="A2025" s="2" t="s">
        <v>64</v>
      </c>
      <c r="B2025" s="2" t="str">
        <f>HYPERLINK("https://www.canoncitydailyrecord.com/2024/06/27/ultra-processed-food-is-tasty-and-easy-is-it-bad-for-you/")</f>
        <v>https://www.canoncitydailyrecord.com/2024/06/27/ultra-processed-food-is-tasty-and-easy-is-it-bad-for-you/</v>
      </c>
      <c r="C2025" s="2" t="s">
        <v>1649</v>
      </c>
      <c r="D2025" s="3">
        <v>45470.683842592603</v>
      </c>
      <c r="E2025" s="2" t="s">
        <v>286</v>
      </c>
    </row>
    <row r="2026" spans="1:5" ht="84" x14ac:dyDescent="0.2">
      <c r="A2026" s="2" t="s">
        <v>64</v>
      </c>
      <c r="B2026" s="2" t="str">
        <f>HYPERLINK("https://www.fortmorgantimes.com/2024/06/27/ultra-processed-food-is-tasty-and-easy-is-it-bad-for-you/")</f>
        <v>https://www.fortmorgantimes.com/2024/06/27/ultra-processed-food-is-tasty-and-easy-is-it-bad-for-you/</v>
      </c>
      <c r="C2026" s="2" t="s">
        <v>1275</v>
      </c>
      <c r="D2026" s="3">
        <v>45470.683888888889</v>
      </c>
      <c r="E2026" s="2" t="s">
        <v>286</v>
      </c>
    </row>
    <row r="2027" spans="1:5" ht="84" x14ac:dyDescent="0.2">
      <c r="A2027" s="2" t="s">
        <v>64</v>
      </c>
      <c r="B2027" s="2" t="str">
        <f>HYPERLINK("https://www.broomfieldenterprise.com/2024/06/27/ultra-processed-food-is-tasty-and-easy-is-it-bad-for-you/")</f>
        <v>https://www.broomfieldenterprise.com/2024/06/27/ultra-processed-food-is-tasty-and-easy-is-it-bad-for-you/</v>
      </c>
      <c r="C2027" s="2" t="s">
        <v>1173</v>
      </c>
      <c r="D2027" s="3">
        <v>45470.683900462973</v>
      </c>
      <c r="E2027" s="2" t="s">
        <v>286</v>
      </c>
    </row>
    <row r="2028" spans="1:5" ht="84" x14ac:dyDescent="0.2">
      <c r="A2028" s="2" t="s">
        <v>64</v>
      </c>
      <c r="B2028" s="2" t="str">
        <f>HYPERLINK("https://www.julesburgadvocate.com/2024/06/27/ultra-processed-food-is-tasty-and-easy-is-it-bad-for-you/")</f>
        <v>https://www.julesburgadvocate.com/2024/06/27/ultra-processed-food-is-tasty-and-easy-is-it-bad-for-you/</v>
      </c>
      <c r="C2028" s="2" t="s">
        <v>879</v>
      </c>
      <c r="D2028" s="3">
        <v>45470.684016203697</v>
      </c>
      <c r="E2028" s="2" t="s">
        <v>286</v>
      </c>
    </row>
    <row r="2029" spans="1:5" ht="84" x14ac:dyDescent="0.2">
      <c r="A2029" s="2" t="s">
        <v>64</v>
      </c>
      <c r="B2029" s="2" t="str">
        <f>HYPERLINK("https://www.paradisepost.com/2024/06/27/ultra-processed-food-is-tasty-and-easy-is-it-bad-for-you/")</f>
        <v>https://www.paradisepost.com/2024/06/27/ultra-processed-food-is-tasty-and-easy-is-it-bad-for-you/</v>
      </c>
      <c r="C2029" s="2" t="s">
        <v>1018</v>
      </c>
      <c r="D2029" s="3">
        <v>45470.684016203697</v>
      </c>
      <c r="E2029" s="2" t="s">
        <v>286</v>
      </c>
    </row>
    <row r="2030" spans="1:5" ht="84" x14ac:dyDescent="0.2">
      <c r="A2030" s="2" t="s">
        <v>64</v>
      </c>
      <c r="B2030" s="2" t="str">
        <f>HYPERLINK("https://www.dailylocal.com/2024/06/27/ultra-processed-food-is-tasty-and-easy-is-it-bad-for-you/")</f>
        <v>https://www.dailylocal.com/2024/06/27/ultra-processed-food-is-tasty-and-easy-is-it-bad-for-you/</v>
      </c>
      <c r="C2030" s="2" t="s">
        <v>1853</v>
      </c>
      <c r="D2030" s="3">
        <v>45470.684016203697</v>
      </c>
      <c r="E2030" s="2" t="s">
        <v>286</v>
      </c>
    </row>
    <row r="2031" spans="1:5" ht="84" x14ac:dyDescent="0.2">
      <c r="A2031" s="2" t="s">
        <v>64</v>
      </c>
      <c r="B2031" s="2" t="str">
        <f>HYPERLINK("https://www.nashobavalleyvoice.com/2024/06/27/ultra-processed-food-is-tasty-and-easy-is-it-bad-for-you/")</f>
        <v>https://www.nashobavalleyvoice.com/2024/06/27/ultra-processed-food-is-tasty-and-easy-is-it-bad-for-you/</v>
      </c>
      <c r="C2031" s="2" t="s">
        <v>317</v>
      </c>
      <c r="D2031" s="3">
        <v>45470.684178240743</v>
      </c>
      <c r="E2031" s="2" t="s">
        <v>286</v>
      </c>
    </row>
    <row r="2032" spans="1:5" ht="84" x14ac:dyDescent="0.2">
      <c r="A2032" s="2" t="s">
        <v>64</v>
      </c>
      <c r="B2032" s="2" t="str">
        <f>HYPERLINK("https://www.orovillemr.com/2024/06/27/ultra-processed-food-is-tasty-and-easy-is-it-bad-for-you/")</f>
        <v>https://www.orovillemr.com/2024/06/27/ultra-processed-food-is-tasty-and-easy-is-it-bad-for-you/</v>
      </c>
      <c r="C2032" s="2" t="s">
        <v>1109</v>
      </c>
      <c r="D2032" s="3">
        <v>45470.684247685182</v>
      </c>
      <c r="E2032" s="2" t="s">
        <v>286</v>
      </c>
    </row>
    <row r="2033" spans="1:5" ht="84" x14ac:dyDescent="0.2">
      <c r="A2033" s="2" t="s">
        <v>64</v>
      </c>
      <c r="B2033" s="2" t="str">
        <f>HYPERLINK("https://www.lowellsun.com/2024/06/27/ultra-processed-food-is-tasty-and-easy-is-it-bad-for-you/")</f>
        <v>https://www.lowellsun.com/2024/06/27/ultra-processed-food-is-tasty-and-easy-is-it-bad-for-you/</v>
      </c>
      <c r="C2033" s="2" t="s">
        <v>2068</v>
      </c>
      <c r="D2033" s="3">
        <v>45470.68440972222</v>
      </c>
      <c r="E2033" s="2" t="s">
        <v>286</v>
      </c>
    </row>
    <row r="2034" spans="1:5" ht="84" x14ac:dyDescent="0.2">
      <c r="A2034" s="2" t="s">
        <v>64</v>
      </c>
      <c r="B2034" s="2" t="str">
        <f>HYPERLINK("https://www.eptrail.com/2024/06/27/ultra-processed-food-is-tasty-and-easy-is-it-bad-for-you/")</f>
        <v>https://www.eptrail.com/2024/06/27/ultra-processed-food-is-tasty-and-easy-is-it-bad-for-you/</v>
      </c>
      <c r="C2034" s="2" t="s">
        <v>1568</v>
      </c>
      <c r="D2034" s="3">
        <v>45470.684699074067</v>
      </c>
      <c r="E2034" s="2" t="s">
        <v>286</v>
      </c>
    </row>
    <row r="2035" spans="1:5" ht="84" x14ac:dyDescent="0.2">
      <c r="A2035" s="2" t="s">
        <v>64</v>
      </c>
      <c r="B2035" s="2" t="str">
        <f>HYPERLINK("https://www.oneidadispatch.com/2024/06/27/ultra-processed-food-is-tasty-and-easy-is-it-bad-for-you/")</f>
        <v>https://www.oneidadispatch.com/2024/06/27/ultra-processed-food-is-tasty-and-easy-is-it-bad-for-you/</v>
      </c>
      <c r="C2035" s="2" t="s">
        <v>1273</v>
      </c>
      <c r="D2035" s="3">
        <v>45470.68482638889</v>
      </c>
      <c r="E2035" s="2" t="s">
        <v>286</v>
      </c>
    </row>
    <row r="2036" spans="1:5" ht="84" x14ac:dyDescent="0.2">
      <c r="A2036" s="2" t="s">
        <v>64</v>
      </c>
      <c r="B2036" s="2" t="str">
        <f>HYPERLINK("https://www.chicoer.com/2024/06/27/ultra-processed-food-is-tasty-and-easy-is-it-bad-for-you/")</f>
        <v>https://www.chicoer.com/2024/06/27/ultra-processed-food-is-tasty-and-easy-is-it-bad-for-you/</v>
      </c>
      <c r="C2036" s="2" t="s">
        <v>1923</v>
      </c>
      <c r="D2036" s="3">
        <v>45470.68482638889</v>
      </c>
      <c r="E2036" s="2" t="s">
        <v>286</v>
      </c>
    </row>
    <row r="2037" spans="1:5" ht="84" x14ac:dyDescent="0.2">
      <c r="A2037" s="2" t="s">
        <v>64</v>
      </c>
      <c r="B2037" s="2" t="str">
        <f>HYPERLINK("https://www.sgvtribune.com/2024/06/27/ultra-processed-food-is-tasty-and-easy-is-it-bad-for-you/")</f>
        <v>https://www.sgvtribune.com/2024/06/27/ultra-processed-food-is-tasty-and-easy-is-it-bad-for-you/</v>
      </c>
      <c r="C2037" s="2" t="s">
        <v>2080</v>
      </c>
      <c r="D2037" s="3">
        <v>45470.685023148151</v>
      </c>
      <c r="E2037" s="2" t="s">
        <v>286</v>
      </c>
    </row>
    <row r="2038" spans="1:5" ht="84" x14ac:dyDescent="0.2">
      <c r="A2038" s="2" t="s">
        <v>64</v>
      </c>
      <c r="B2038" s="2" t="str">
        <f>HYPERLINK("https://www.marinij.com/2024/06/27/ultra-processed-food-is-tasty-and-easy-is-it-bad-for-you/")</f>
        <v>https://www.marinij.com/2024/06/27/ultra-processed-food-is-tasty-and-easy-is-it-bad-for-you/</v>
      </c>
      <c r="C2038" s="2" t="s">
        <v>2399</v>
      </c>
      <c r="D2038" s="3">
        <v>45470.685023148151</v>
      </c>
      <c r="E2038" s="2" t="s">
        <v>286</v>
      </c>
    </row>
    <row r="2039" spans="1:5" ht="84" x14ac:dyDescent="0.2">
      <c r="A2039" s="2" t="s">
        <v>64</v>
      </c>
      <c r="B2039" s="2" t="str">
        <f>HYPERLINK("https://www.sun-sentinel.com/2024/06/27/ultra-processed-food-is-tasty-and-easy-is-it-bad-for-you/")</f>
        <v>https://www.sun-sentinel.com/2024/06/27/ultra-processed-food-is-tasty-and-easy-is-it-bad-for-you/</v>
      </c>
      <c r="C2039" s="2" t="s">
        <v>3043</v>
      </c>
      <c r="D2039" s="3">
        <v>45470.685219907413</v>
      </c>
      <c r="E2039" s="2" t="s">
        <v>286</v>
      </c>
    </row>
    <row r="2040" spans="1:5" ht="84" x14ac:dyDescent="0.2">
      <c r="A2040" s="2" t="s">
        <v>64</v>
      </c>
      <c r="B2040" s="2" t="str">
        <f>HYPERLINK("https://www.dailynews.com/2024/06/27/ultra-processed-food-is-tasty-and-easy-is-it-bad-for-you/")</f>
        <v>https://www.dailynews.com/2024/06/27/ultra-processed-food-is-tasty-and-easy-is-it-bad-for-you/</v>
      </c>
      <c r="C2040" s="2" t="s">
        <v>2780</v>
      </c>
      <c r="D2040" s="3">
        <v>45470.685381944437</v>
      </c>
      <c r="E2040" s="2" t="s">
        <v>286</v>
      </c>
    </row>
    <row r="2041" spans="1:5" ht="84" x14ac:dyDescent="0.2">
      <c r="A2041" s="2" t="s">
        <v>64</v>
      </c>
      <c r="B2041" s="2" t="str">
        <f>HYPERLINK("https://www.brushnewstribune.com/2024/06/27/ultra-processed-food-is-tasty-and-easy-is-it-bad-for-you/")</f>
        <v>https://www.brushnewstribune.com/2024/06/27/ultra-processed-food-is-tasty-and-easy-is-it-bad-for-you/</v>
      </c>
      <c r="C2041" s="2" t="s">
        <v>698</v>
      </c>
      <c r="D2041" s="3">
        <v>45470.685393518521</v>
      </c>
      <c r="E2041" s="2" t="s">
        <v>286</v>
      </c>
    </row>
    <row r="2042" spans="1:5" ht="84" x14ac:dyDescent="0.2">
      <c r="A2042" s="2" t="s">
        <v>64</v>
      </c>
      <c r="B2042" s="2" t="str">
        <f>HYPERLINK("https://www.courant.com/2024/06/27/ultra-processed-food-is-tasty-and-easy-is-it-bad-for-you/")</f>
        <v>https://www.courant.com/2024/06/27/ultra-processed-food-is-tasty-and-easy-is-it-bad-for-you/</v>
      </c>
      <c r="C2042" s="2" t="s">
        <v>2872</v>
      </c>
      <c r="D2042" s="3">
        <v>45470.68550925926</v>
      </c>
      <c r="E2042" s="2" t="s">
        <v>286</v>
      </c>
    </row>
    <row r="2043" spans="1:5" ht="84" x14ac:dyDescent="0.2">
      <c r="A2043" s="2" t="s">
        <v>64</v>
      </c>
      <c r="B2043" s="2" t="str">
        <f>HYPERLINK("https://www.burlington-record.com/2024/06/27/ultra-processed-food-is-tasty-and-easy-is-it-bad-for-you/")</f>
        <v>https://www.burlington-record.com/2024/06/27/ultra-processed-food-is-tasty-and-easy-is-it-bad-for-you/</v>
      </c>
      <c r="C2043" s="2" t="s">
        <v>831</v>
      </c>
      <c r="D2043" s="3">
        <v>45470.685578703713</v>
      </c>
      <c r="E2043" s="2" t="s">
        <v>286</v>
      </c>
    </row>
    <row r="2044" spans="1:5" ht="84" x14ac:dyDescent="0.2">
      <c r="A2044" s="2" t="s">
        <v>64</v>
      </c>
      <c r="B2044" s="2" t="str">
        <f>HYPERLINK("https://www.dailyfreeman.com/2024/06/27/ultra-processed-food-is-tasty-and-easy-is-it-bad-for-you/")</f>
        <v>https://www.dailyfreeman.com/2024/06/27/ultra-processed-food-is-tasty-and-easy-is-it-bad-for-you/</v>
      </c>
      <c r="C2044" s="2" t="s">
        <v>2108</v>
      </c>
      <c r="D2044" s="3">
        <v>45470.685752314806</v>
      </c>
      <c r="E2044" s="2" t="s">
        <v>286</v>
      </c>
    </row>
    <row r="2045" spans="1:5" ht="84" x14ac:dyDescent="0.2">
      <c r="A2045" s="2" t="s">
        <v>64</v>
      </c>
      <c r="B2045" s="2" t="str">
        <f>HYPERLINK("https://www.pilotonline.com/2024/06/27/ultra-processed-food-is-tasty-and-easy-is-it-bad-for-you/")</f>
        <v>https://www.pilotonline.com/2024/06/27/ultra-processed-food-is-tasty-and-easy-is-it-bad-for-you/</v>
      </c>
      <c r="C2045" s="2" t="s">
        <v>2744</v>
      </c>
      <c r="D2045" s="3">
        <v>45470.686076388891</v>
      </c>
      <c r="E2045" s="2" t="s">
        <v>286</v>
      </c>
    </row>
    <row r="2046" spans="1:5" ht="84" x14ac:dyDescent="0.2">
      <c r="A2046" s="2" t="s">
        <v>64</v>
      </c>
      <c r="B2046" s="2" t="str">
        <f>HYPERLINK("https://www.redlandsdailyfacts.com/2024/06/27/ultra-processed-food-is-tasty-and-easy-is-it-bad-for-you/")</f>
        <v>https://www.redlandsdailyfacts.com/2024/06/27/ultra-processed-food-is-tasty-and-easy-is-it-bad-for-you/</v>
      </c>
      <c r="C2046" s="2" t="s">
        <v>1852</v>
      </c>
      <c r="D2046" s="3">
        <v>45470.686655092592</v>
      </c>
      <c r="E2046" s="2" t="s">
        <v>286</v>
      </c>
    </row>
    <row r="2047" spans="1:5" ht="84" x14ac:dyDescent="0.2">
      <c r="A2047" s="2" t="s">
        <v>64</v>
      </c>
      <c r="B2047" s="2" t="str">
        <f>HYPERLINK("https://www.greeleytribune.com/2024/06/27/ultra-processed-food-is-tasty-and-easy-is-it-bad-for-you/")</f>
        <v>https://www.greeleytribune.com/2024/06/27/ultra-processed-food-is-tasty-and-easy-is-it-bad-for-you/</v>
      </c>
      <c r="C2047" s="2" t="s">
        <v>2231</v>
      </c>
      <c r="D2047" s="3">
        <v>45470.686921296299</v>
      </c>
      <c r="E2047" s="2" t="s">
        <v>286</v>
      </c>
    </row>
    <row r="2048" spans="1:5" ht="84" x14ac:dyDescent="0.2">
      <c r="A2048" s="2" t="s">
        <v>64</v>
      </c>
      <c r="B2048" s="2" t="str">
        <f>HYPERLINK("https://www.journal-advocate.com/2024/06/27/ultra-processed-food-is-tasty-and-easy-is-it-bad-for-you/")</f>
        <v>https://www.journal-advocate.com/2024/06/27/ultra-processed-food-is-tasty-and-easy-is-it-bad-for-you/</v>
      </c>
      <c r="C2048" s="2" t="s">
        <v>1413</v>
      </c>
      <c r="D2048" s="3">
        <v>45470.686967592592</v>
      </c>
      <c r="E2048" s="2" t="s">
        <v>286</v>
      </c>
    </row>
    <row r="2049" spans="1:5" ht="84" x14ac:dyDescent="0.2">
      <c r="A2049" s="2" t="s">
        <v>64</v>
      </c>
      <c r="B2049" s="2" t="str">
        <f>HYPERLINK("https://www.eastbaytimes.com/2024/06/27/ultra-processed-food-is-tasty-and-easy-is-it-bad-for-you/")</f>
        <v>https://www.eastbaytimes.com/2024/06/27/ultra-processed-food-is-tasty-and-easy-is-it-bad-for-you/</v>
      </c>
      <c r="C2049" s="2" t="s">
        <v>2612</v>
      </c>
      <c r="D2049" s="3">
        <v>45470.687256944453</v>
      </c>
      <c r="E2049" s="2" t="s">
        <v>65</v>
      </c>
    </row>
    <row r="2050" spans="1:5" ht="84" x14ac:dyDescent="0.2">
      <c r="A2050" s="2" t="s">
        <v>64</v>
      </c>
      <c r="B2050" s="2" t="str">
        <f>HYPERLINK("https://www.coloradohometownweekly.com/2024/06/27/ultra-processed-food-is-tasty-and-easy-is-it-bad-for-you/")</f>
        <v>https://www.coloradohometownweekly.com/2024/06/27/ultra-processed-food-is-tasty-and-easy-is-it-bad-for-you/</v>
      </c>
      <c r="C2050" s="2" t="s">
        <v>1205</v>
      </c>
      <c r="D2050" s="3">
        <v>45470.687557870369</v>
      </c>
      <c r="E2050" s="2" t="s">
        <v>286</v>
      </c>
    </row>
    <row r="2051" spans="1:5" ht="84" x14ac:dyDescent="0.2">
      <c r="A2051" s="2" t="s">
        <v>64</v>
      </c>
      <c r="B2051" s="2" t="str">
        <f>HYPERLINK("https://www.mercurynews.com/2024/06/27/ultra-processed-food-is-tasty-and-easy-is-it-bad-for-you/")</f>
        <v>https://www.mercurynews.com/2024/06/27/ultra-processed-food-is-tasty-and-easy-is-it-bad-for-you/</v>
      </c>
      <c r="C2051" s="2" t="s">
        <v>3341</v>
      </c>
      <c r="D2051" s="3">
        <v>45470.687569444453</v>
      </c>
      <c r="E2051" s="2" t="s">
        <v>286</v>
      </c>
    </row>
    <row r="2052" spans="1:5" ht="84" x14ac:dyDescent="0.2">
      <c r="A2052" s="2" t="s">
        <v>64</v>
      </c>
      <c r="B2052" s="2" t="str">
        <f>HYPERLINK("https://www.delcotimes.com/2024/06/27/ultra-processed-food-is-tasty-and-easy-is-it-bad-for-you/")</f>
        <v>https://www.delcotimes.com/2024/06/27/ultra-processed-food-is-tasty-and-easy-is-it-bad-for-you/</v>
      </c>
      <c r="C2052" s="2" t="s">
        <v>2280</v>
      </c>
      <c r="D2052" s="3">
        <v>45470.687743055547</v>
      </c>
      <c r="E2052" s="2" t="s">
        <v>286</v>
      </c>
    </row>
    <row r="2053" spans="1:5" ht="84" x14ac:dyDescent="0.2">
      <c r="A2053" s="2" t="s">
        <v>64</v>
      </c>
      <c r="B2053" s="2" t="str">
        <f>HYPERLINK("https://www.reporterherald.com/2024/06/27/ultra-processed-food-is-tasty-and-easy-is-it-bad-for-you/")</f>
        <v>https://www.reporterherald.com/2024/06/27/ultra-processed-food-is-tasty-and-easy-is-it-bad-for-you/</v>
      </c>
      <c r="C2053" s="2" t="s">
        <v>1903</v>
      </c>
      <c r="D2053" s="3">
        <v>45470.687974537039</v>
      </c>
      <c r="E2053" s="2" t="s">
        <v>286</v>
      </c>
    </row>
    <row r="2054" spans="1:5" ht="84" x14ac:dyDescent="0.2">
      <c r="A2054" s="2" t="s">
        <v>64</v>
      </c>
      <c r="B2054" s="2" t="str">
        <f>HYPERLINK("https://www.lamarledger.com/2024/06/27/ultra-processed-food-is-tasty-and-easy-is-it-bad-for-you/")</f>
        <v>https://www.lamarledger.com/2024/06/27/ultra-processed-food-is-tasty-and-easy-is-it-bad-for-you/</v>
      </c>
      <c r="C2054" s="2" t="s">
        <v>937</v>
      </c>
      <c r="D2054" s="3">
        <v>45470.688055555547</v>
      </c>
      <c r="E2054" s="2" t="s">
        <v>286</v>
      </c>
    </row>
    <row r="2055" spans="1:5" ht="84" x14ac:dyDescent="0.2">
      <c r="A2055" s="2" t="s">
        <v>64</v>
      </c>
      <c r="B2055" s="2" t="str">
        <f>HYPERLINK("https://www.timesherald.com/2024/06/27/ultra-processed-food-is-tasty-and-easy-is-it-bad-for-you/")</f>
        <v>https://www.timesherald.com/2024/06/27/ultra-processed-food-is-tasty-and-easy-is-it-bad-for-you/</v>
      </c>
      <c r="C2055" s="2" t="s">
        <v>1572</v>
      </c>
      <c r="D2055" s="3">
        <v>45470.688067129631</v>
      </c>
      <c r="E2055" s="2" t="s">
        <v>286</v>
      </c>
    </row>
    <row r="2056" spans="1:5" ht="84" x14ac:dyDescent="0.2">
      <c r="A2056" s="2" t="s">
        <v>64</v>
      </c>
      <c r="B2056" s="2" t="str">
        <f>HYPERLINK("https://www.akronnewsreporter.com/2024/06/27/ultra-processed-food-is-tasty-and-easy-is-it-bad-for-you/")</f>
        <v>https://www.akronnewsreporter.com/2024/06/27/ultra-processed-food-is-tasty-and-easy-is-it-bad-for-you/</v>
      </c>
      <c r="C2056" s="2" t="s">
        <v>684</v>
      </c>
      <c r="D2056" s="3">
        <v>45470.688125000001</v>
      </c>
      <c r="E2056" s="2" t="s">
        <v>286</v>
      </c>
    </row>
    <row r="2057" spans="1:5" ht="84" x14ac:dyDescent="0.2">
      <c r="A2057" s="2" t="s">
        <v>64</v>
      </c>
      <c r="B2057" s="2" t="str">
        <f>HYPERLINK("https://www.timescall.com/2024/06/27/ultra-processed-food-is-tasty-and-easy-is-it-bad-for-you/")</f>
        <v>https://www.timescall.com/2024/06/27/ultra-processed-food-is-tasty-and-easy-is-it-bad-for-you/</v>
      </c>
      <c r="C2057" s="2" t="s">
        <v>2229</v>
      </c>
      <c r="D2057" s="3">
        <v>45470.688148148147</v>
      </c>
      <c r="E2057" s="2" t="s">
        <v>286</v>
      </c>
    </row>
    <row r="2058" spans="1:5" ht="84" x14ac:dyDescent="0.2">
      <c r="A2058" s="2" t="s">
        <v>64</v>
      </c>
      <c r="B2058" s="2" t="str">
        <f>HYPERLINK("https://www.capitalgazette.com/2024/06/27/ultra-processed-food-is-tasty-and-easy-is-it-bad-for-you/")</f>
        <v>https://www.capitalgazette.com/2024/06/27/ultra-processed-food-is-tasty-and-easy-is-it-bad-for-you/</v>
      </c>
      <c r="C2058" s="2" t="s">
        <v>2321</v>
      </c>
      <c r="D2058" s="3">
        <v>45470.688263888893</v>
      </c>
      <c r="E2058" s="2" t="s">
        <v>286</v>
      </c>
    </row>
    <row r="2059" spans="1:5" ht="84" x14ac:dyDescent="0.2">
      <c r="A2059" s="2" t="s">
        <v>64</v>
      </c>
      <c r="B2059" s="2" t="str">
        <f>HYPERLINK("https://www.southplattesentinel.com/2024/06/27/ultra-processed-food-is-tasty-and-easy-is-it-bad-for-you/")</f>
        <v>https://www.southplattesentinel.com/2024/06/27/ultra-processed-food-is-tasty-and-easy-is-it-bad-for-you/</v>
      </c>
      <c r="C2059" s="2" t="s">
        <v>899</v>
      </c>
      <c r="D2059" s="3">
        <v>45470.688310185193</v>
      </c>
      <c r="E2059" s="2" t="s">
        <v>286</v>
      </c>
    </row>
    <row r="2060" spans="1:5" ht="84" x14ac:dyDescent="0.2">
      <c r="A2060" s="2" t="s">
        <v>64</v>
      </c>
      <c r="B2060" s="2" t="str">
        <f>HYPERLINK("https://www.readingeagle.com/2024/06/27/ultra-processed-food-is-tasty-and-easy-is-it-bad-for-you/")</f>
        <v>https://www.readingeagle.com/2024/06/27/ultra-processed-food-is-tasty-and-easy-is-it-bad-for-you/</v>
      </c>
      <c r="C2060" s="2" t="s">
        <v>2305</v>
      </c>
      <c r="D2060" s="3">
        <v>45470.688437500001</v>
      </c>
      <c r="E2060" s="2" t="s">
        <v>286</v>
      </c>
    </row>
    <row r="2061" spans="1:5" ht="84" x14ac:dyDescent="0.2">
      <c r="A2061" s="2" t="s">
        <v>64</v>
      </c>
      <c r="B2061" s="2" t="str">
        <f>HYPERLINK("https://www.santacruzsentinel.com/2024/06/27/ultra-processed-food-is-tasty-and-easy-is-it-bad-for-you/")</f>
        <v>https://www.santacruzsentinel.com/2024/06/27/ultra-processed-food-is-tasty-and-easy-is-it-bad-for-you/</v>
      </c>
      <c r="C2061" s="2" t="s">
        <v>2194</v>
      </c>
      <c r="D2061" s="3">
        <v>45470.68922453704</v>
      </c>
      <c r="E2061" s="2" t="s">
        <v>286</v>
      </c>
    </row>
    <row r="2062" spans="1:5" ht="84" x14ac:dyDescent="0.2">
      <c r="A2062" s="2" t="s">
        <v>64</v>
      </c>
      <c r="B2062" s="2" t="str">
        <f>HYPERLINK("https://www.montereyherald.com/2024/06/27/ultra-processed-food-is-tasty-and-easy-is-it-bad-for-you/")</f>
        <v>https://www.montereyherald.com/2024/06/27/ultra-processed-food-is-tasty-and-easy-is-it-bad-for-you/</v>
      </c>
      <c r="C2062" s="2" t="s">
        <v>2126</v>
      </c>
      <c r="D2062" s="3">
        <v>45470.689247685194</v>
      </c>
      <c r="E2062" s="2" t="s">
        <v>286</v>
      </c>
    </row>
    <row r="2063" spans="1:5" ht="84" x14ac:dyDescent="0.2">
      <c r="A2063" s="2" t="s">
        <v>64</v>
      </c>
      <c r="B2063" s="2" t="str">
        <f>HYPERLINK("https://www.ukiahdailyjournal.com/2024/06/27/ultra-processed-food-is-tasty-and-easy-is-it-bad-for-you/")</f>
        <v>https://www.ukiahdailyjournal.com/2024/06/27/ultra-processed-food-is-tasty-and-easy-is-it-bad-for-you/</v>
      </c>
      <c r="C2063" s="2" t="s">
        <v>1379</v>
      </c>
      <c r="D2063" s="3">
        <v>45470.689606481479</v>
      </c>
      <c r="E2063" s="2" t="s">
        <v>286</v>
      </c>
    </row>
    <row r="2064" spans="1:5" ht="84" x14ac:dyDescent="0.2">
      <c r="A2064" s="2" t="s">
        <v>64</v>
      </c>
      <c r="B2064" s="2" t="str">
        <f>HYPERLINK("https://www.thereporter.com/2024/06/27/ultra-processed-food-is-tasty-and-easy-is-it-bad-for-you/")</f>
        <v>https://www.thereporter.com/2024/06/27/ultra-processed-food-is-tasty-and-easy-is-it-bad-for-you/</v>
      </c>
      <c r="C2064" s="2" t="s">
        <v>1788</v>
      </c>
      <c r="D2064" s="3">
        <v>45470.690405092602</v>
      </c>
      <c r="E2064" s="2" t="s">
        <v>286</v>
      </c>
    </row>
    <row r="2065" spans="1:5" ht="84" x14ac:dyDescent="0.2">
      <c r="A2065" s="2" t="s">
        <v>64</v>
      </c>
      <c r="B2065" s="2" t="str">
        <f>HYPERLINK("https://www.timesheraldonline.com/2024/06/27/ultra-processed-food-is-tasty-and-easy-is-it-bad-for-you/")</f>
        <v>https://www.timesheraldonline.com/2024/06/27/ultra-processed-food-is-tasty-and-easy-is-it-bad-for-you/</v>
      </c>
      <c r="C2065" s="2" t="s">
        <v>1828</v>
      </c>
      <c r="D2065" s="3">
        <v>45470.691319444442</v>
      </c>
      <c r="E2065" s="2" t="s">
        <v>286</v>
      </c>
    </row>
    <row r="2066" spans="1:5" ht="84" x14ac:dyDescent="0.2">
      <c r="A2066" s="2" t="s">
        <v>64</v>
      </c>
      <c r="B2066" s="2" t="str">
        <f>HYPERLINK("https://usajaunnews.com/ultra-processed-food-is-tasty-and-easy-is-it-bad-for-you-hartford-courant/")</f>
        <v>https://usajaunnews.com/ultra-processed-food-is-tasty-and-easy-is-it-bad-for-you-hartford-courant/</v>
      </c>
      <c r="C2066" s="2" t="s">
        <v>60</v>
      </c>
      <c r="D2066" s="3">
        <v>45470.69153935185</v>
      </c>
      <c r="E2066" s="2" t="s">
        <v>65</v>
      </c>
    </row>
    <row r="2067" spans="1:5" ht="84" x14ac:dyDescent="0.2">
      <c r="A2067" s="2" t="s">
        <v>64</v>
      </c>
      <c r="B2067" s="2" t="str">
        <f>HYPERLINK("https://usajaunnews.com/ultra-processed-food-is-tasty-and-easy-is-it-bad-for-you-orange-county-register/")</f>
        <v>https://usajaunnews.com/ultra-processed-food-is-tasty-and-easy-is-it-bad-for-you-orange-county-register/</v>
      </c>
      <c r="C2067" s="2" t="s">
        <v>60</v>
      </c>
      <c r="D2067" s="3">
        <v>45470.69158564815</v>
      </c>
      <c r="E2067" s="2" t="s">
        <v>65</v>
      </c>
    </row>
    <row r="2068" spans="1:5" ht="84" x14ac:dyDescent="0.2">
      <c r="A2068" s="2" t="s">
        <v>64</v>
      </c>
      <c r="B2068" s="2" t="str">
        <f>HYPERLINK("https://www.news-herald.com/2024/06/27/ultra-processed-food-is-tasty-and-easy-is-it-bad-for-you/")</f>
        <v>https://www.news-herald.com/2024/06/27/ultra-processed-food-is-tasty-and-easy-is-it-bad-for-you/</v>
      </c>
      <c r="C2068" s="2" t="s">
        <v>2438</v>
      </c>
      <c r="D2068" s="3">
        <v>45470.692094907397</v>
      </c>
      <c r="E2068" s="2" t="s">
        <v>286</v>
      </c>
    </row>
    <row r="2069" spans="1:5" ht="84" x14ac:dyDescent="0.2">
      <c r="A2069" s="2" t="s">
        <v>64</v>
      </c>
      <c r="B2069" s="2" t="str">
        <f>HYPERLINK("https://www.saratogian.com/2024/06/27/ultra-processed-food-is-tasty-and-easy-is-it-bad-for-you/")</f>
        <v>https://www.saratogian.com/2024/06/27/ultra-processed-food-is-tasty-and-easy-is-it-bad-for-you/</v>
      </c>
      <c r="C2069" s="2" t="s">
        <v>1539</v>
      </c>
      <c r="D2069" s="3">
        <v>45470.692523148151</v>
      </c>
      <c r="E2069" s="2" t="s">
        <v>286</v>
      </c>
    </row>
    <row r="2070" spans="1:5" ht="84" x14ac:dyDescent="0.2">
      <c r="A2070" s="2" t="s">
        <v>64</v>
      </c>
      <c r="B2070" s="2" t="str">
        <f>HYPERLINK("https://www.pressenterprise.com/2024/06/27/ultra-processed-food-is-tasty-and-easy-is-it-bad-for-you/")</f>
        <v>https://www.pressenterprise.com/2024/06/27/ultra-processed-food-is-tasty-and-easy-is-it-bad-for-you/</v>
      </c>
      <c r="C2070" s="2" t="s">
        <v>2384</v>
      </c>
      <c r="D2070" s="3">
        <v>45470.692754629628</v>
      </c>
      <c r="E2070" s="2" t="s">
        <v>286</v>
      </c>
    </row>
    <row r="2071" spans="1:5" ht="84" x14ac:dyDescent="0.2">
      <c r="A2071" s="2" t="s">
        <v>64</v>
      </c>
      <c r="B2071" s="2" t="str">
        <f>HYPERLINK("https://www.mendocinobeacon.com/2024/06/27/ultra-processed-food-is-tasty-and-easy-is-it-bad-for-you/")</f>
        <v>https://www.mendocinobeacon.com/2024/06/27/ultra-processed-food-is-tasty-and-easy-is-it-bad-for-you/</v>
      </c>
      <c r="C2071" s="2" t="s">
        <v>906</v>
      </c>
      <c r="D2071" s="3">
        <v>45470.693182870367</v>
      </c>
      <c r="E2071" s="2" t="s">
        <v>286</v>
      </c>
    </row>
    <row r="2072" spans="1:5" ht="84" x14ac:dyDescent="0.2">
      <c r="A2072" s="2" t="s">
        <v>64</v>
      </c>
      <c r="B2072" s="2" t="str">
        <f>HYPERLINK("https://www.record-bee.com/2024/06/27/ultra-processed-food-is-tasty-and-easy-is-it-bad-for-you/")</f>
        <v>https://www.record-bee.com/2024/06/27/ultra-processed-food-is-tasty-and-easy-is-it-bad-for-you/</v>
      </c>
      <c r="C2072" s="2" t="s">
        <v>1244</v>
      </c>
      <c r="D2072" s="3">
        <v>45470.693541666667</v>
      </c>
      <c r="E2072" s="2" t="s">
        <v>286</v>
      </c>
    </row>
    <row r="2073" spans="1:5" ht="84" x14ac:dyDescent="0.2">
      <c r="A2073" s="2" t="s">
        <v>64</v>
      </c>
      <c r="B2073" s="2" t="str">
        <f>HYPERLINK("https://www.dailycamera.com/2024/06/27/ultra-processed-food-is-tasty-and-easy-is-it-bad-for-you/")</f>
        <v>https://www.dailycamera.com/2024/06/27/ultra-processed-food-is-tasty-and-easy-is-it-bad-for-you/</v>
      </c>
      <c r="C2073" s="2" t="s">
        <v>2415</v>
      </c>
      <c r="D2073" s="3">
        <v>45470.696006944447</v>
      </c>
      <c r="E2073" s="2" t="s">
        <v>286</v>
      </c>
    </row>
    <row r="2074" spans="1:5" ht="84" x14ac:dyDescent="0.2">
      <c r="A2074" s="2" t="s">
        <v>64</v>
      </c>
      <c r="B2074" s="2" t="str">
        <f>HYPERLINK("https://usanewssite.com/culture/ultra-processed-food-is-tasty-and-easy-is-it-bad-for-you/")</f>
        <v>https://usanewssite.com/culture/ultra-processed-food-is-tasty-and-easy-is-it-bad-for-you/</v>
      </c>
      <c r="C2074" s="2" t="s">
        <v>604</v>
      </c>
      <c r="D2074" s="3">
        <v>45470.696296296293</v>
      </c>
      <c r="E2074" s="2" t="s">
        <v>286</v>
      </c>
    </row>
    <row r="2075" spans="1:5" ht="84" x14ac:dyDescent="0.2">
      <c r="A2075" s="2" t="s">
        <v>64</v>
      </c>
      <c r="B2075" s="2" t="str">
        <f>HYPERLINK("https://todayschronic.com/ultra-processed-food-is-tasty-and-easy-is-it-bad-for-you-the-mercury-news/")</f>
        <v>https://todayschronic.com/ultra-processed-food-is-tasty-and-easy-is-it-bad-for-you-the-mercury-news/</v>
      </c>
      <c r="C2075" s="2" t="s">
        <v>524</v>
      </c>
      <c r="D2075" s="3">
        <v>45470.771469907413</v>
      </c>
      <c r="E2075" s="2" t="s">
        <v>65</v>
      </c>
    </row>
    <row r="2076" spans="1:5" ht="84" x14ac:dyDescent="0.2">
      <c r="A2076" s="2" t="s">
        <v>285</v>
      </c>
      <c r="B2076" s="2" t="str">
        <f>HYPERLINK("http://swifttelecast.com/ultra-processed-food-is-tasty-and-easy-is-it-bad-for-you-the-mercury-news/")</f>
        <v>http://swifttelecast.com/ultra-processed-food-is-tasty-and-easy-is-it-bad-for-you-the-mercury-news/</v>
      </c>
      <c r="C2076" s="2" t="s">
        <v>283</v>
      </c>
      <c r="D2076" s="3">
        <v>45470.848854166667</v>
      </c>
      <c r="E2076" s="2" t="s">
        <v>286</v>
      </c>
    </row>
    <row r="2077" spans="1:5" ht="409.6" x14ac:dyDescent="0.2">
      <c r="A2077" s="2" t="s">
        <v>2749</v>
      </c>
      <c r="B2077" s="2" t="str">
        <f>HYPERLINK("https://www.themanual.com/culture/best-food-documentaries/")</f>
        <v>https://www.themanual.com/culture/best-food-documentaries/</v>
      </c>
      <c r="C2077" s="2" t="s">
        <v>2750</v>
      </c>
      <c r="D2077" s="3">
        <v>45471.002418981479</v>
      </c>
      <c r="E2077" s="2" t="s">
        <v>2751</v>
      </c>
    </row>
    <row r="2078" spans="1:5" ht="98" x14ac:dyDescent="0.2">
      <c r="A2078" s="2" t="s">
        <v>3739</v>
      </c>
      <c r="B2078" s="2" t="str">
        <f>HYPERLINK("https://news.thin-ink.net/p/freedoms-just-another-word-for")</f>
        <v>https://news.thin-ink.net/p/freedoms-just-another-word-for</v>
      </c>
      <c r="C2078" s="2" t="s">
        <v>3740</v>
      </c>
      <c r="D2078" s="3">
        <v>45471.468587962961</v>
      </c>
      <c r="E2078" s="2" t="s">
        <v>3741</v>
      </c>
    </row>
    <row r="2079" spans="1:5" ht="56" x14ac:dyDescent="0.2">
      <c r="A2079" s="2" t="s">
        <v>3462</v>
      </c>
      <c r="B2079" s="2" t="str">
        <f>HYPERLINK("https://www.theatlantic.com/health/archive/2024/06/pet-health-benefits-mixed/678841/")</f>
        <v>https://www.theatlantic.com/health/archive/2024/06/pet-health-benefits-mixed/678841/</v>
      </c>
      <c r="C2079" s="2" t="s">
        <v>3463</v>
      </c>
      <c r="D2079" s="3">
        <v>45472.340497685182</v>
      </c>
      <c r="E2079" s="2" t="s">
        <v>3464</v>
      </c>
    </row>
    <row r="2080" spans="1:5" ht="56" x14ac:dyDescent="0.2">
      <c r="A2080" s="2" t="s">
        <v>3326</v>
      </c>
      <c r="B2080" s="2" t="str">
        <f>HYPERLINK("https://www.scientificamerican.com/article/are-pets-really-good-for-health/")</f>
        <v>https://www.scientificamerican.com/article/are-pets-really-good-for-health/</v>
      </c>
      <c r="C2080" s="2" t="s">
        <v>3327</v>
      </c>
      <c r="D2080" s="3">
        <v>45472.382268518522</v>
      </c>
      <c r="E2080" s="2" t="s">
        <v>508</v>
      </c>
    </row>
    <row r="2081" spans="1:5" ht="56" x14ac:dyDescent="0.2">
      <c r="A2081" s="2" t="s">
        <v>3490</v>
      </c>
      <c r="B2081" s="2" t="str">
        <f>HYPERLINK("https://www.newsbreak.com/news/3509856597994-the-science-of-pet-ownership-needs-a-reality-check")</f>
        <v>https://www.newsbreak.com/news/3509856597994-the-science-of-pet-ownership-needs-a-reality-check</v>
      </c>
      <c r="C2081" s="2" t="s">
        <v>3461</v>
      </c>
      <c r="D2081" s="3">
        <v>45472.387754629628</v>
      </c>
      <c r="E2081" s="2" t="s">
        <v>3464</v>
      </c>
    </row>
    <row r="2082" spans="1:5" ht="56" x14ac:dyDescent="0.2">
      <c r="A2082" s="2" t="s">
        <v>3360</v>
      </c>
      <c r="B2082" s="2" t="str">
        <f>HYPERLINK("https://www.karar.com/saglik-haberleri/asiri-islenmis-gidalar-tuketmek-olum-riskini-yuzde-4-artiriyor-30-yil-1874380")</f>
        <v>https://www.karar.com/saglik-haberleri/asiri-islenmis-gidalar-tuketmek-olum-riskini-yuzde-4-artiriyor-30-yil-1874380</v>
      </c>
      <c r="C2082" s="2" t="s">
        <v>3361</v>
      </c>
      <c r="D2082" s="3">
        <v>45472.487881944442</v>
      </c>
      <c r="E2082" s="2" t="s">
        <v>3362</v>
      </c>
    </row>
    <row r="2083" spans="1:5" ht="56" x14ac:dyDescent="0.2">
      <c r="A2083" s="2" t="s">
        <v>2577</v>
      </c>
      <c r="B2083" s="2" t="str">
        <f>HYPERLINK("https://www.inkl.com/news/is-fido-is-actually-good-for-you")</f>
        <v>https://www.inkl.com/news/is-fido-is-actually-good-for-you</v>
      </c>
      <c r="C2083" s="2" t="s">
        <v>2569</v>
      </c>
      <c r="D2083" s="3">
        <v>45473.360451388893</v>
      </c>
      <c r="E2083" s="2" t="s">
        <v>508</v>
      </c>
    </row>
    <row r="2084" spans="1:5" ht="56" x14ac:dyDescent="0.2">
      <c r="A2084" s="2" t="s">
        <v>3317</v>
      </c>
      <c r="B2084" s="2" t="str">
        <f>HYPERLINK("https://www.salon.com/2024/06/30/the-fuzzy-science-on-whether-fido-is-actually-good-for-you_partner/")</f>
        <v>https://www.salon.com/2024/06/30/the-fuzzy-science-on-whether-fido-is-actually-good-for-you_partner/</v>
      </c>
      <c r="C2084" s="2" t="s">
        <v>3316</v>
      </c>
      <c r="D2084" s="3">
        <v>45473.366238425922</v>
      </c>
      <c r="E2084" s="2" t="s">
        <v>508</v>
      </c>
    </row>
    <row r="2085" spans="1:5" ht="56" x14ac:dyDescent="0.2">
      <c r="A2085" s="2" t="s">
        <v>2570</v>
      </c>
      <c r="B2085" s="2" t="str">
        <f>HYPERLINK("https://www.inkl.com/news/the-link-between-pets-and-health-is-massively-misunderstood")</f>
        <v>https://www.inkl.com/news/the-link-between-pets-and-health-is-massively-misunderstood</v>
      </c>
      <c r="C2085" s="2" t="s">
        <v>2569</v>
      </c>
      <c r="D2085" s="3">
        <v>45474.250277777777</v>
      </c>
      <c r="E2085" s="2" t="s">
        <v>508</v>
      </c>
    </row>
    <row r="2086" spans="1:5" ht="56" x14ac:dyDescent="0.2">
      <c r="A2086" s="2" t="s">
        <v>2570</v>
      </c>
      <c r="B2086" s="2" t="str">
        <f>HYPERLINK("https://www.inverse.com/health/the-link-between-pets-and-health-is-massively-misunderstood")</f>
        <v>https://www.inverse.com/health/the-link-between-pets-and-health-is-massively-misunderstood</v>
      </c>
      <c r="C2086" s="2" t="s">
        <v>3268</v>
      </c>
      <c r="D2086" s="3">
        <v>45474.259050925917</v>
      </c>
      <c r="E2086" s="2" t="s">
        <v>508</v>
      </c>
    </row>
    <row r="2087" spans="1:5" ht="182" x14ac:dyDescent="0.2">
      <c r="A2087" s="2" t="s">
        <v>2652</v>
      </c>
      <c r="B2087" s="2" t="str">
        <f>HYPERLINK("https://www.liputan6.com/health/read/5632392/5-tips-untuk-memulai-suka-makan-sayur-bisa-dari-sayuran-yang-manis")</f>
        <v>https://www.liputan6.com/health/read/5632392/5-tips-untuk-memulai-suka-makan-sayur-bisa-dari-sayuran-yang-manis</v>
      </c>
      <c r="C2087" s="2" t="s">
        <v>3569</v>
      </c>
      <c r="D2087" s="3">
        <v>45474.338761574072</v>
      </c>
      <c r="E2087" s="2" t="s">
        <v>3570</v>
      </c>
    </row>
    <row r="2088" spans="1:5" ht="42" x14ac:dyDescent="0.2">
      <c r="A2088" s="2" t="s">
        <v>3921</v>
      </c>
      <c r="B2088" s="2" t="str">
        <f>HYPERLINK("https://www.dnews.gr/eidhseis/ygeia/479466/oi-10-diatrofikoi-mythoi-pou-oi-eidikoi-tha-ithelan-na-eksafanistoyn")</f>
        <v>https://www.dnews.gr/eidhseis/ygeia/479466/oi-10-diatrofikoi-mythoi-pou-oi-eidikoi-tha-ithelan-na-eksafanistoyn</v>
      </c>
      <c r="C2088" s="2" t="s">
        <v>3922</v>
      </c>
      <c r="D2088" s="3">
        <v>45474.440625000003</v>
      </c>
      <c r="E2088" s="2" t="s">
        <v>3923</v>
      </c>
    </row>
    <row r="2089" spans="1:5" ht="70" x14ac:dyDescent="0.2">
      <c r="A2089" s="2" t="s">
        <v>2652</v>
      </c>
      <c r="B2089" s="2" t="str">
        <f>HYPERLINK("https://headtopics.com/id/5-tips-untuk-memulai-suka-makan-sayur-bisa-dari-sayuran-55121943")</f>
        <v>https://headtopics.com/id/5-tips-untuk-memulai-suka-makan-sayur-bisa-dari-sayuran-55121943</v>
      </c>
      <c r="C2089" s="2" t="s">
        <v>2534</v>
      </c>
      <c r="D2089" s="3">
        <v>45474.601388888892</v>
      </c>
      <c r="E2089" s="2" t="s">
        <v>2653</v>
      </c>
    </row>
    <row r="2090" spans="1:5" ht="56" x14ac:dyDescent="0.2">
      <c r="A2090" s="2" t="s">
        <v>3354</v>
      </c>
      <c r="B2090" s="2" t="str">
        <f>HYPERLINK("https://www.straitstimes.com/life/are-prebiotic-sodas-good-for-gut-health")</f>
        <v>https://www.straitstimes.com/life/are-prebiotic-sodas-good-for-gut-health</v>
      </c>
      <c r="C2090" s="2" t="s">
        <v>3355</v>
      </c>
      <c r="D2090" s="3">
        <v>45475.023194444453</v>
      </c>
      <c r="E2090" s="2" t="s">
        <v>3356</v>
      </c>
    </row>
    <row r="2091" spans="1:5" ht="56" x14ac:dyDescent="0.2">
      <c r="A2091" s="2" t="s">
        <v>3354</v>
      </c>
      <c r="B2091" s="2" t="str">
        <f>HYPERLINK("https://www.redhot.sg/are-prebiotic-sodas-good-for-gut-health-422499.html")</f>
        <v>https://www.redhot.sg/are-prebiotic-sodas-good-for-gut-health-422499.html</v>
      </c>
      <c r="C2091" s="2" t="s">
        <v>3766</v>
      </c>
      <c r="D2091" s="3">
        <v>45475.035486111112</v>
      </c>
      <c r="E2091" s="2" t="s">
        <v>3356</v>
      </c>
    </row>
    <row r="2092" spans="1:5" ht="56" x14ac:dyDescent="0.2">
      <c r="A2092" s="2" t="s">
        <v>3639</v>
      </c>
      <c r="B2092" s="2" t="str">
        <f>HYPERLINK("https://www.washingtonpost.com/wellness/2024/07/02/healthy-soda-drinks-alternatives/")</f>
        <v>https://www.washingtonpost.com/wellness/2024/07/02/healthy-soda-drinks-alternatives/</v>
      </c>
      <c r="C2092" s="2" t="s">
        <v>3634</v>
      </c>
      <c r="D2092" s="3">
        <v>45475.298541666663</v>
      </c>
      <c r="E2092" s="2" t="s">
        <v>2753</v>
      </c>
    </row>
    <row r="2093" spans="1:5" ht="56" x14ac:dyDescent="0.2">
      <c r="A2093" s="2" t="s">
        <v>2752</v>
      </c>
      <c r="B2093" s="2" t="str">
        <f>HYPERLINK("https://www.adn.com/alaska-life/food-drink/2024/07/02/is-there-really-such-a-thing-as-a-healthy-soda/")</f>
        <v>https://www.adn.com/alaska-life/food-drink/2024/07/02/is-there-really-such-a-thing-as-a-healthy-soda/</v>
      </c>
      <c r="C2093" s="2" t="s">
        <v>2640</v>
      </c>
      <c r="D2093" s="3">
        <v>45475.618854166663</v>
      </c>
      <c r="E2093" s="2" t="s">
        <v>2753</v>
      </c>
    </row>
    <row r="2094" spans="1:5" ht="70" x14ac:dyDescent="0.2">
      <c r="A2094" s="2" t="s">
        <v>1255</v>
      </c>
      <c r="B2094" s="2" t="str">
        <f>HYPERLINK("https://www.infobae.com/wapo/2024/07/02/existe-realmente-algo-como-una-gaseosa-saludable/")</f>
        <v>https://www.infobae.com/wapo/2024/07/02/existe-realmente-algo-como-una-gaseosa-saludable/</v>
      </c>
      <c r="C2094" s="2" t="s">
        <v>3689</v>
      </c>
      <c r="D2094" s="3">
        <v>45475.792743055557</v>
      </c>
      <c r="E2094" s="2" t="s">
        <v>1257</v>
      </c>
    </row>
    <row r="2095" spans="1:5" ht="70" x14ac:dyDescent="0.2">
      <c r="A2095" s="2" t="s">
        <v>1255</v>
      </c>
      <c r="B2095" s="2" t="str">
        <f>HYPERLINK("https://elnoticierodigital.com.ar/2024/07/02/existe-realmente-algo-como-una-gaseosa-saludable/")</f>
        <v>https://elnoticierodigital.com.ar/2024/07/02/existe-realmente-algo-como-una-gaseosa-saludable/</v>
      </c>
      <c r="C2095" s="2" t="s">
        <v>1256</v>
      </c>
      <c r="D2095" s="3">
        <v>45475.877974537027</v>
      </c>
      <c r="E2095" s="2" t="s">
        <v>1257</v>
      </c>
    </row>
    <row r="2096" spans="1:5" ht="56" x14ac:dyDescent="0.2">
      <c r="A2096" s="2" t="s">
        <v>2752</v>
      </c>
      <c r="B2096" s="2" t="str">
        <f>HYPERLINK("https://www.seattletimes.com/seattle-news/health/is-there-really-such-a-thing-as-a-healthy-soda/")</f>
        <v>https://www.seattletimes.com/seattle-news/health/is-there-really-such-a-thing-as-a-healthy-soda/</v>
      </c>
      <c r="C2096" s="2" t="s">
        <v>3375</v>
      </c>
      <c r="D2096" s="3">
        <v>45476.508333333331</v>
      </c>
      <c r="E2096" s="2" t="s">
        <v>2753</v>
      </c>
    </row>
    <row r="2097" spans="1:5" ht="70" x14ac:dyDescent="0.2">
      <c r="A2097" s="2" t="s">
        <v>1635</v>
      </c>
      <c r="B2097" s="2" t="str">
        <f>HYPERLINK("https://www.independent.com.mt/articles/2024-07-05/cinema/Food-Inc-2-revisits-food-system-sees-reason-for-frustration-and-a-little-hope-6736262485")</f>
        <v>https://www.independent.com.mt/articles/2024-07-05/cinema/Food-Inc-2-revisits-food-system-sees-reason-for-frustration-and-a-little-hope-6736262485</v>
      </c>
      <c r="C2097" s="2" t="s">
        <v>2493</v>
      </c>
      <c r="D2097" s="3">
        <v>45478.062118055554</v>
      </c>
      <c r="E2097" s="2" t="s">
        <v>1519</v>
      </c>
    </row>
    <row r="2098" spans="1:5" ht="42" x14ac:dyDescent="0.2">
      <c r="A2098" s="2" t="s">
        <v>2660</v>
      </c>
      <c r="B2098" s="2" t="str">
        <f>HYPERLINK("https://www.columbian.com/news/2024/jul/05/is-ultra-processed-food-unhealthy/")</f>
        <v>https://www.columbian.com/news/2024/jul/05/is-ultra-processed-food-unhealthy/</v>
      </c>
      <c r="C2098" s="2" t="s">
        <v>2659</v>
      </c>
      <c r="D2098" s="3">
        <v>45478.384814814817</v>
      </c>
      <c r="E2098" s="2" t="s">
        <v>2661</v>
      </c>
    </row>
    <row r="2099" spans="1:5" ht="42" x14ac:dyDescent="0.2">
      <c r="A2099" s="2" t="s">
        <v>2327</v>
      </c>
      <c r="B2099" s="2" t="str">
        <f>HYPERLINK("https://www.iask.ca/news/920772")</f>
        <v>https://www.iask.ca/news/920772</v>
      </c>
      <c r="C2099" s="2" t="s">
        <v>2215</v>
      </c>
      <c r="D2099" s="3">
        <v>45478.456099537027</v>
      </c>
      <c r="E2099" s="2" t="s">
        <v>2328</v>
      </c>
    </row>
    <row r="2100" spans="1:5" ht="70" x14ac:dyDescent="0.2">
      <c r="A2100" s="2" t="s">
        <v>4080</v>
      </c>
      <c r="B2100" s="2" t="str">
        <f>HYPERLINK("https://www.dmtemdebate.com.br/desigualdade-alimentar-luta-de-classes-na-comida-e-nos-corpos/")</f>
        <v>https://www.dmtemdebate.com.br/desigualdade-alimentar-luta-de-classes-na-comida-e-nos-corpos/</v>
      </c>
      <c r="C2100" s="2" t="s">
        <v>4081</v>
      </c>
      <c r="D2100" s="3">
        <v>45479.858391203707</v>
      </c>
      <c r="E2100" s="2" t="s">
        <v>3962</v>
      </c>
    </row>
    <row r="2101" spans="1:5" ht="98" x14ac:dyDescent="0.2">
      <c r="A2101" s="2" t="s">
        <v>3530</v>
      </c>
      <c r="B2101" s="2" t="str">
        <f>HYPERLINK("https://www.ilfattoquotidiano.it/2024/07/07/lozempic-puo-diventare-una-minaccia-esistenziale-per-lindustria-alimentare-nei-supermercati-arrivano-i-prodotti-ad-hoc-per-chi-assume-il-farmaco-dimagrante/7613422/")</f>
        <v>https://www.ilfattoquotidiano.it/2024/07/07/lozempic-puo-diventare-una-minaccia-esistenziale-per-lindustria-alimentare-nei-supermercati-arrivano-i-prodotti-ad-hoc-per-chi-assume-il-farmaco-dimagrante/7613422/</v>
      </c>
      <c r="C2101" s="2" t="s">
        <v>3531</v>
      </c>
      <c r="D2101" s="3">
        <v>45480.13008101852</v>
      </c>
      <c r="E2101" s="2" t="s">
        <v>3532</v>
      </c>
    </row>
    <row r="2102" spans="1:5" ht="84" x14ac:dyDescent="0.2">
      <c r="A2102" s="2" t="s">
        <v>1505</v>
      </c>
      <c r="B2102" s="2" t="str">
        <f>HYPERLINK("https://www.world-today-news.com/ozempic-might-be-an-pressing-menace-to-the-meals-trade-in-il-fatto-quotidiano/")</f>
        <v>https://www.world-today-news.com/ozempic-might-be-an-pressing-menace-to-the-meals-trade-in-il-fatto-quotidiano/</v>
      </c>
      <c r="C2102" s="2" t="s">
        <v>1325</v>
      </c>
      <c r="D2102" s="3">
        <v>45480.229386574072</v>
      </c>
      <c r="E2102" s="2" t="s">
        <v>1506</v>
      </c>
    </row>
    <row r="2103" spans="1:5" ht="84" x14ac:dyDescent="0.2">
      <c r="A2103" s="2" t="s">
        <v>124</v>
      </c>
      <c r="B2103" s="2" t="str">
        <f>HYPERLINK("https://nuevaprensa.web.ve/ozempic-podria-convertirse-en-una-amenaza-existencial-para-la-industria-alimentaria-llegan-a-los-supermercados-productos-especiales-para-quienes-toman-el-medicamento-adelgazante/")</f>
        <v>https://nuevaprensa.web.ve/ozempic-podria-convertirse-en-una-amenaza-existencial-para-la-industria-alimentaria-llegan-a-los-supermercados-productos-especiales-para-quienes-toman-el-medicamento-adelgazante/</v>
      </c>
      <c r="C2103" s="2" t="s">
        <v>125</v>
      </c>
      <c r="D2103" s="3">
        <v>45480.289398148147</v>
      </c>
      <c r="E2103" s="2" t="s">
        <v>126</v>
      </c>
    </row>
    <row r="2104" spans="1:5" ht="84" x14ac:dyDescent="0.2">
      <c r="A2104" s="2" t="s">
        <v>3576</v>
      </c>
      <c r="B2104" s="2" t="str">
        <f>HYPERLINK("https://www.lavanguardia.com/comer/expres/20240708/9783366/consejos-sobre-nutricion-cambian-constantemente-experto-sentencia-pvlv.html")</f>
        <v>https://www.lavanguardia.com/comer/expres/20240708/9783366/consejos-sobre-nutricion-cambian-constantemente-experto-sentencia-pvlv.html</v>
      </c>
      <c r="C2104" s="2" t="s">
        <v>3574</v>
      </c>
      <c r="D2104" s="3">
        <v>45481.043553240743</v>
      </c>
      <c r="E2104" s="2" t="s">
        <v>3577</v>
      </c>
    </row>
    <row r="2105" spans="1:5" ht="84" x14ac:dyDescent="0.2">
      <c r="A2105" s="2" t="s">
        <v>323</v>
      </c>
      <c r="B2105" s="2" t="str">
        <f>HYPERLINK("https://www.ecuapaginas.com/ultraprocesados/")</f>
        <v>https://www.ecuapaginas.com/ultraprocesados/</v>
      </c>
      <c r="C2105" s="2" t="s">
        <v>324</v>
      </c>
      <c r="D2105" s="3">
        <v>45481.335787037038</v>
      </c>
      <c r="E2105" s="2" t="s">
        <v>325</v>
      </c>
    </row>
    <row r="2106" spans="1:5" ht="84" x14ac:dyDescent="0.2">
      <c r="A2106" s="2" t="s">
        <v>3132</v>
      </c>
      <c r="B2106" s="2" t="str">
        <f>HYPERLINK("https://www.dailykos.com/stories/2024/7/9/2252007/-Nonfiction-Views-July-9th-2024")</f>
        <v>https://www.dailykos.com/stories/2024/7/9/2252007/-Nonfiction-Views-July-9th-2024</v>
      </c>
      <c r="C2106" s="2" t="s">
        <v>3133</v>
      </c>
      <c r="D2106" s="3">
        <v>45482</v>
      </c>
      <c r="E2106" s="2" t="s">
        <v>3134</v>
      </c>
    </row>
    <row r="2107" spans="1:5" ht="70" x14ac:dyDescent="0.2">
      <c r="A2107" s="2" t="s">
        <v>2036</v>
      </c>
      <c r="B2107" s="2" t="str">
        <f>HYPERLINK("https://winenews.it/it/we-are-nature-il-messaggio-di-terra-madre-salone-del-gusto-2024-torino-26-30-settembre_530937/")</f>
        <v>https://winenews.it/it/we-are-nature-il-messaggio-di-terra-madre-salone-del-gusto-2024-torino-26-30-settembre_530937/</v>
      </c>
      <c r="C2107" s="2" t="s">
        <v>2037</v>
      </c>
      <c r="D2107" s="3">
        <v>45482.525520833333</v>
      </c>
      <c r="E2107" s="2" t="s">
        <v>694</v>
      </c>
    </row>
    <row r="2108" spans="1:5" ht="56" x14ac:dyDescent="0.2">
      <c r="A2108" s="2" t="s">
        <v>533</v>
      </c>
      <c r="B2108" s="2" t="str">
        <f>HYPERLINK("https://goodmenproject.com/featured-content/the-fuzzy-science-on-whether-fido-is-actually-good-for-you/")</f>
        <v>https://goodmenproject.com/featured-content/the-fuzzy-science-on-whether-fido-is-actually-good-for-you/</v>
      </c>
      <c r="C2108" s="2" t="s">
        <v>2610</v>
      </c>
      <c r="D2108" s="3">
        <v>45482.666956018518</v>
      </c>
      <c r="E2108" s="2" t="s">
        <v>508</v>
      </c>
    </row>
    <row r="2109" spans="1:5" ht="70" x14ac:dyDescent="0.2">
      <c r="A2109" s="2" t="s">
        <v>1742</v>
      </c>
      <c r="B2109" s="2" t="str">
        <f>HYPERLINK("https://www.capenews.net/arts_and_entertainment/farming-falmouth-to-screen-food-inc-2/article_de889845-6e36-5bef-8053-1e7e07107b99.html")</f>
        <v>https://www.capenews.net/arts_and_entertainment/farming-falmouth-to-screen-food-inc-2/article_de889845-6e36-5bef-8053-1e7e07107b99.html</v>
      </c>
      <c r="C2109" s="2" t="s">
        <v>1743</v>
      </c>
      <c r="D2109" s="3">
        <v>45482.670266203713</v>
      </c>
      <c r="E2109" s="2" t="s">
        <v>1744</v>
      </c>
    </row>
    <row r="2110" spans="1:5" ht="98" x14ac:dyDescent="0.2">
      <c r="A2110" s="2" t="s">
        <v>1555</v>
      </c>
      <c r="B2110" s="2" t="str">
        <f>HYPERLINK("https://www.blogarama.com/health-and-fitness-blogs/1423910-atoz-healthy-benefits-blog/59589150-are-these-foods-for-you-think-again")</f>
        <v>https://www.blogarama.com/health-and-fitness-blogs/1423910-atoz-healthy-benefits-blog/59589150-are-these-foods-for-you-think-again</v>
      </c>
      <c r="C2110" s="2" t="s">
        <v>1554</v>
      </c>
      <c r="D2110" s="3">
        <v>45484</v>
      </c>
      <c r="E2110" s="2" t="s">
        <v>1556</v>
      </c>
    </row>
    <row r="2111" spans="1:5" ht="70" x14ac:dyDescent="0.2">
      <c r="A2111" s="2" t="s">
        <v>62</v>
      </c>
      <c r="B2111" s="2" t="str">
        <f>HYPERLINK("https://bitebi.com/weekend-reading-ipes-food-food-from-somewhere/")</f>
        <v>https://bitebi.com/weekend-reading-ipes-food-food-from-somewhere/</v>
      </c>
      <c r="C2111" s="2" t="s">
        <v>15</v>
      </c>
      <c r="D2111" s="3">
        <v>45485.48914351852</v>
      </c>
      <c r="E2111" s="2" t="s">
        <v>63</v>
      </c>
    </row>
    <row r="2112" spans="1:5" ht="70" x14ac:dyDescent="0.2">
      <c r="A2112" s="2" t="s">
        <v>2637</v>
      </c>
      <c r="B2112" s="2" t="str">
        <f>HYPERLINK("https://ilfattoalimentare.it/ultra-processati-tabacco.html")</f>
        <v>https://ilfattoalimentare.it/ultra-processati-tabacco.html</v>
      </c>
      <c r="C2112" s="2" t="s">
        <v>2635</v>
      </c>
      <c r="D2112" s="3">
        <v>45485.504826388889</v>
      </c>
      <c r="E2112" s="2" t="s">
        <v>2638</v>
      </c>
    </row>
    <row r="2113" spans="1:5" ht="56" x14ac:dyDescent="0.2">
      <c r="A2113" s="2" t="s">
        <v>3553</v>
      </c>
      <c r="B2113" s="2" t="str">
        <f>HYPERLINK("https://www.foodnetwork.com/fn-dish/news/is-it-time-we-started-bringing-our-own-containers-to-restaurants")</f>
        <v>https://www.foodnetwork.com/fn-dish/news/is-it-time-we-started-bringing-our-own-containers-to-restaurants</v>
      </c>
      <c r="C2113" s="2" t="s">
        <v>3554</v>
      </c>
      <c r="D2113" s="3">
        <v>45485.780497685177</v>
      </c>
      <c r="E2113" s="2" t="s">
        <v>3555</v>
      </c>
    </row>
    <row r="2114" spans="1:5" ht="70" x14ac:dyDescent="0.2">
      <c r="A2114" s="2" t="s">
        <v>2044</v>
      </c>
      <c r="B2114" s="2" t="str">
        <f>HYPERLINK("https://www.esquerda.net/artigo/luta-de-classes-na-comida-e-nos-corpos/91421")</f>
        <v>https://www.esquerda.net/artigo/luta-de-classes-na-comida-e-nos-corpos/91421</v>
      </c>
      <c r="C2114" s="2" t="s">
        <v>2045</v>
      </c>
      <c r="D2114" s="3">
        <v>45487.682500000003</v>
      </c>
      <c r="E2114" s="2" t="s">
        <v>2046</v>
      </c>
    </row>
    <row r="2115" spans="1:5" ht="98" x14ac:dyDescent="0.2">
      <c r="A2115" s="2" t="s">
        <v>4103</v>
      </c>
      <c r="B2115" s="2" t="str">
        <f>HYPERLINK("https://www.islampos.com/14-manfaat-kesehatan-bagi-suami-istri-yang-rutin-jimak-287487/")</f>
        <v>https://www.islampos.com/14-manfaat-kesehatan-bagi-suami-istri-yang-rutin-jimak-287487/</v>
      </c>
      <c r="C2115" s="2" t="s">
        <v>4104</v>
      </c>
      <c r="D2115" s="3">
        <v>45488.021331018521</v>
      </c>
      <c r="E2115" s="2" t="s">
        <v>4105</v>
      </c>
    </row>
    <row r="2116" spans="1:5" ht="70" x14ac:dyDescent="0.2">
      <c r="A2116" s="2" t="s">
        <v>1276</v>
      </c>
      <c r="B2116" s="2" t="str">
        <f>HYPERLINK("https://www.empowordjournalism.com/all-articles/are-superfoods-nothing-more-than-a-health-scam/")</f>
        <v>https://www.empowordjournalism.com/all-articles/are-superfoods-nothing-more-than-a-health-scam/</v>
      </c>
      <c r="C2116" s="2" t="s">
        <v>1277</v>
      </c>
      <c r="D2116" s="3">
        <v>45488.763495370367</v>
      </c>
      <c r="E2116" s="2" t="s">
        <v>1278</v>
      </c>
    </row>
    <row r="2117" spans="1:5" ht="84" x14ac:dyDescent="0.2">
      <c r="A2117" s="2" t="s">
        <v>3204</v>
      </c>
      <c r="B2117" s="2" t="str">
        <f>HYPERLINK("https://www.kompas.id/baca/humaniora/2024/07/16/peran-negara-dan-lobi-industri-di-balik-penyakit-kronis")</f>
        <v>https://www.kompas.id/baca/humaniora/2024/07/16/peran-negara-dan-lobi-industri-di-balik-penyakit-kronis</v>
      </c>
      <c r="C2117" s="2" t="s">
        <v>3205</v>
      </c>
      <c r="D2117" s="3">
        <v>45489.225486111107</v>
      </c>
      <c r="E2117" s="2" t="s">
        <v>3206</v>
      </c>
    </row>
    <row r="2118" spans="1:5" ht="84" x14ac:dyDescent="0.2">
      <c r="A2118" s="2" t="s">
        <v>3207</v>
      </c>
      <c r="B2118" s="2" t="str">
        <f>HYPERLINK("https://www.kompas.id/baca/english/2024/07/16/en-peran-negara-dan-lobi-industri-di-balik-penyakit-kronis")</f>
        <v>https://www.kompas.id/baca/english/2024/07/16/en-peran-negara-dan-lobi-industri-di-balik-penyakit-kronis</v>
      </c>
      <c r="C2118" s="2" t="s">
        <v>3205</v>
      </c>
      <c r="D2118" s="3">
        <v>45489.240312499998</v>
      </c>
      <c r="E2118" s="2" t="s">
        <v>3208</v>
      </c>
    </row>
    <row r="2119" spans="1:5" ht="56" x14ac:dyDescent="0.2">
      <c r="A2119" s="2" t="s">
        <v>1019</v>
      </c>
      <c r="B2119" s="2" t="str">
        <f>HYPERLINK("https://couponsinthenews.com/2024/07/16/this-city-is-turning-a-soda-tax-into-healthy-coupons/")</f>
        <v>https://couponsinthenews.com/2024/07/16/this-city-is-turning-a-soda-tax-into-healthy-coupons/</v>
      </c>
      <c r="C2119" s="2" t="s">
        <v>1020</v>
      </c>
      <c r="D2119" s="3">
        <v>45489.426666666674</v>
      </c>
      <c r="E2119" s="2" t="s">
        <v>1021</v>
      </c>
    </row>
    <row r="2120" spans="1:5" ht="84" x14ac:dyDescent="0.2">
      <c r="A2120" s="2" t="s">
        <v>3722</v>
      </c>
      <c r="B2120" s="2" t="str">
        <f>HYPERLINK("https://www.nytimes.com/2024/07/16/well/eat/artificial-sweeteners-sugar-free.html")</f>
        <v>https://www.nytimes.com/2024/07/16/well/eat/artificial-sweeteners-sugar-free.html</v>
      </c>
      <c r="C2120" s="2" t="s">
        <v>3717</v>
      </c>
      <c r="D2120" s="3">
        <v>45489.485949074071</v>
      </c>
      <c r="E2120" s="2" t="s">
        <v>2807</v>
      </c>
    </row>
    <row r="2121" spans="1:5" ht="84" x14ac:dyDescent="0.2">
      <c r="A2121" s="2" t="s">
        <v>2881</v>
      </c>
      <c r="B2121" s="2" t="str">
        <f>HYPERLINK("https://dnyuz.com/2024/07/16/are-artificial-sweeteners-safer-than-sugar/")</f>
        <v>https://dnyuz.com/2024/07/16/are-artificial-sweeteners-safer-than-sugar/</v>
      </c>
      <c r="C2121" s="2" t="s">
        <v>2847</v>
      </c>
      <c r="D2121" s="3">
        <v>45489.48741898148</v>
      </c>
      <c r="E2121" s="2" t="s">
        <v>2807</v>
      </c>
    </row>
    <row r="2122" spans="1:5" ht="70" x14ac:dyDescent="0.2">
      <c r="A2122" s="2" t="s">
        <v>3849</v>
      </c>
      <c r="B2122" s="2" t="str">
        <f>HYPERLINK("https://wherethefoodcomesfrom.com/kroger-albertsons-merger-will-mean-higher-prices-fewer-stores/")</f>
        <v>https://wherethefoodcomesfrom.com/kroger-albertsons-merger-will-mean-higher-prices-fewer-stores/</v>
      </c>
      <c r="C2122" s="2" t="s">
        <v>3746</v>
      </c>
      <c r="D2122" s="3">
        <v>45489.557118055563</v>
      </c>
      <c r="E2122" s="2" t="s">
        <v>3747</v>
      </c>
    </row>
    <row r="2123" spans="1:5" ht="70" x14ac:dyDescent="0.2">
      <c r="A2123" s="2" t="s">
        <v>692</v>
      </c>
      <c r="B2123" s="2" t="str">
        <f>HYPERLINK("https://www.slowfoodvalliorobiche.it/we-are-nature-il-messaggio-di-terra-madre-salone-del-gusto-2024-torino-26-30-settembre/")</f>
        <v>https://www.slowfoodvalliorobiche.it/we-are-nature-il-messaggio-di-terra-madre-salone-del-gusto-2024-torino-26-30-settembre/</v>
      </c>
      <c r="C2123" s="2" t="s">
        <v>693</v>
      </c>
      <c r="D2123" s="3">
        <v>45490.210729166669</v>
      </c>
      <c r="E2123" s="2" t="s">
        <v>694</v>
      </c>
    </row>
    <row r="2124" spans="1:5" ht="42" x14ac:dyDescent="0.2">
      <c r="A2124" s="2" t="s">
        <v>140</v>
      </c>
      <c r="B2124" s="2" t="str">
        <f>HYPERLINK("https://bitebi.com/the-cucumber-outbreak-a-cafo-problem/")</f>
        <v>https://bitebi.com/the-cucumber-outbreak-a-cafo-problem/</v>
      </c>
      <c r="C2124" s="2" t="s">
        <v>15</v>
      </c>
      <c r="D2124" s="3">
        <v>45491.731562499997</v>
      </c>
      <c r="E2124" s="2" t="s">
        <v>25</v>
      </c>
    </row>
    <row r="2125" spans="1:5" ht="84" x14ac:dyDescent="0.2">
      <c r="A2125" s="2" t="s">
        <v>2704</v>
      </c>
      <c r="B2125" s="2" t="str">
        <f>HYPERLINK("https://tvxs.gr/news/ygeia/ereyna-glykantikes-oysies-i-zachari-ti-einai-pio-akindyno/")</f>
        <v>https://tvxs.gr/news/ygeia/ereyna-glykantikes-oysies-i-zachari-ti-einai-pio-akindyno/</v>
      </c>
      <c r="C2125" s="2" t="s">
        <v>2705</v>
      </c>
      <c r="D2125" s="3">
        <v>45492.02034722222</v>
      </c>
      <c r="E2125" s="2" t="s">
        <v>2706</v>
      </c>
    </row>
    <row r="2126" spans="1:5" ht="84" x14ac:dyDescent="0.2">
      <c r="A2126" s="2" t="s">
        <v>1598</v>
      </c>
      <c r="B2126" s="2" t="str">
        <f>HYPERLINK("https://www.lanacion.com.ar/salud/los-edulcorantes-artificiales-son-mas-seguros-que-el-azucar-nid19072024/")</f>
        <v>https://www.lanacion.com.ar/salud/los-edulcorantes-artificiales-son-mas-seguros-que-el-azucar-nid19072024/</v>
      </c>
      <c r="C2126" s="2" t="s">
        <v>3623</v>
      </c>
      <c r="D2126" s="3">
        <v>45492.701585648138</v>
      </c>
      <c r="E2126" s="2" t="s">
        <v>3258</v>
      </c>
    </row>
    <row r="2127" spans="1:5" ht="84" x14ac:dyDescent="0.2">
      <c r="A2127" s="2" t="s">
        <v>2806</v>
      </c>
      <c r="B2127" s="2" t="str">
        <f>HYPERLINK("https://cnalifestyle.channelnewsasia.com/wellness/artificial-sweeteners-sugar-free-393531")</f>
        <v>https://cnalifestyle.channelnewsasia.com/wellness/artificial-sweeteners-sugar-free-393531</v>
      </c>
      <c r="C2127" s="2" t="s">
        <v>2804</v>
      </c>
      <c r="D2127" s="3">
        <v>45493.794259259259</v>
      </c>
      <c r="E2127" s="2" t="s">
        <v>2807</v>
      </c>
    </row>
    <row r="2128" spans="1:5" ht="84" x14ac:dyDescent="0.2">
      <c r="A2128" s="2" t="s">
        <v>2806</v>
      </c>
      <c r="B2128" s="2" t="str">
        <f>HYPERLINK("https://thenews.sg/are-artificial-sweeteners-safer-than-sugar-heres-what-the-research-suggests/")</f>
        <v>https://thenews.sg/are-artificial-sweeteners-safer-than-sugar-heres-what-the-research-suggests/</v>
      </c>
      <c r="C2128" s="2" t="s">
        <v>3827</v>
      </c>
      <c r="D2128" s="3">
        <v>45493.843159722222</v>
      </c>
      <c r="E2128" s="2" t="s">
        <v>2807</v>
      </c>
    </row>
    <row r="2129" spans="1:5" ht="84" x14ac:dyDescent="0.2">
      <c r="A2129" s="2" t="s">
        <v>2390</v>
      </c>
      <c r="B2129" s="2" t="str">
        <f>HYPERLINK("https://berita.mediacorp.sg/gaya-hidup/adakah-pemanis-tiruan-lebih-selamat-berbanding-gula-863281")</f>
        <v>https://berita.mediacorp.sg/gaya-hidup/adakah-pemanis-tiruan-lebih-selamat-berbanding-gula-863281</v>
      </c>
      <c r="C2129" s="2" t="s">
        <v>2391</v>
      </c>
      <c r="D2129" s="3">
        <v>45494.139675925922</v>
      </c>
      <c r="E2129" s="2" t="s">
        <v>2392</v>
      </c>
    </row>
    <row r="2130" spans="1:5" ht="140" x14ac:dyDescent="0.2">
      <c r="A2130" s="2" t="s">
        <v>1595</v>
      </c>
      <c r="B2130" s="2" t="str">
        <f>HYPERLINK("https://qnews.com.au/alt-right-meatless-myths-whoppers-grow-knockers/")</f>
        <v>https://qnews.com.au/alt-right-meatless-myths-whoppers-grow-knockers/</v>
      </c>
      <c r="C2130" s="2" t="s">
        <v>1596</v>
      </c>
      <c r="D2130" s="3">
        <v>45494.149652777778</v>
      </c>
      <c r="E2130" s="2" t="s">
        <v>1597</v>
      </c>
    </row>
    <row r="2131" spans="1:5" ht="84" x14ac:dyDescent="0.2">
      <c r="A2131" s="2" t="s">
        <v>2390</v>
      </c>
      <c r="B2131" s="2" t="str">
        <f>HYPERLINK("https://berita.mediacorp.sg/gaya-hidup/jelasberita-adakah-pemanis-tiruan-lebih-selamat-berbanding-gula-863281")</f>
        <v>https://berita.mediacorp.sg/gaya-hidup/jelasberita-adakah-pemanis-tiruan-lebih-selamat-berbanding-gula-863281</v>
      </c>
      <c r="C2131" s="2" t="s">
        <v>2391</v>
      </c>
      <c r="D2131" s="3">
        <v>45494.161840277768</v>
      </c>
      <c r="E2131" s="2" t="s">
        <v>2392</v>
      </c>
    </row>
    <row r="2132" spans="1:5" ht="84" x14ac:dyDescent="0.2">
      <c r="A2132" s="2" t="s">
        <v>3517</v>
      </c>
      <c r="B2132" s="2" t="str">
        <f>HYPERLINK("https://www1.folha.uol.com.br/equilibrio/2024/07/assim-como-o-acucar-adocantes-tambem-podem-trazer-riscos-a-saude-dizem-especialistas.shtml")</f>
        <v>https://www1.folha.uol.com.br/equilibrio/2024/07/assim-como-o-acucar-adocantes-tambem-podem-trazer-riscos-a-saude-dizem-especialistas.shtml</v>
      </c>
      <c r="C2132" s="2" t="s">
        <v>3511</v>
      </c>
      <c r="D2132" s="3">
        <v>45494.50372685185</v>
      </c>
      <c r="E2132" s="2" t="s">
        <v>3518</v>
      </c>
    </row>
    <row r="2133" spans="1:5" ht="84" x14ac:dyDescent="0.2">
      <c r="A2133" s="2" t="s">
        <v>3517</v>
      </c>
      <c r="B2133" s="2" t="str">
        <f>HYPERLINK("https://maistopnews.com.br/assim-como-o-acucar-adocantes-tambem-podem-trazer-riscos-a-saude-dizem-especialistas/")</f>
        <v>https://maistopnews.com.br/assim-como-o-acucar-adocantes-tambem-podem-trazer-riscos-a-saude-dizem-especialistas/</v>
      </c>
      <c r="C2133" s="2" t="s">
        <v>3816</v>
      </c>
      <c r="D2133" s="3">
        <v>45494.543888888889</v>
      </c>
      <c r="E2133" s="2" t="s">
        <v>3518</v>
      </c>
    </row>
    <row r="2134" spans="1:5" ht="70" x14ac:dyDescent="0.2">
      <c r="A2134" s="2" t="s">
        <v>3801</v>
      </c>
      <c r="B2134" s="2" t="str">
        <f>HYPERLINK("https://wherethefoodcomesfrom.com/fact-check-vitamin-e-grape-juice-extract-and-astaxanthin-combo-improves-brain-function/")</f>
        <v>https://wherethefoodcomesfrom.com/fact-check-vitamin-e-grape-juice-extract-and-astaxanthin-combo-improves-brain-function/</v>
      </c>
      <c r="C2134" s="2" t="s">
        <v>3746</v>
      </c>
      <c r="D2134" s="3">
        <v>45494.917025462957</v>
      </c>
      <c r="E2134" s="2" t="s">
        <v>3747</v>
      </c>
    </row>
    <row r="2135" spans="1:5" ht="84" x14ac:dyDescent="0.2">
      <c r="A2135" s="2" t="s">
        <v>3799</v>
      </c>
      <c r="B2135" s="2" t="str">
        <f>HYPERLINK("https://ajn1.com.br/saude/assim-como-o-acucar-adocantes-tambem-podem-trazer-riscos-a-saude-advertem-especialistas/")</f>
        <v>https://ajn1.com.br/saude/assim-como-o-acucar-adocantes-tambem-podem-trazer-riscos-a-saude-advertem-especialistas/</v>
      </c>
      <c r="C2135" s="2" t="s">
        <v>3800</v>
      </c>
      <c r="D2135" s="3">
        <v>45495</v>
      </c>
      <c r="E2135" s="2" t="s">
        <v>3518</v>
      </c>
    </row>
    <row r="2136" spans="1:5" ht="42" x14ac:dyDescent="0.2">
      <c r="A2136" s="2" t="s">
        <v>1830</v>
      </c>
      <c r="B2136" s="2" t="str">
        <f>HYPERLINK("https://www.propublica.org/article/baby-formula-regulation-biden-administration-europe-taiwan")</f>
        <v>https://www.propublica.org/article/baby-formula-regulation-biden-administration-europe-taiwan</v>
      </c>
      <c r="C2136" s="2" t="s">
        <v>3232</v>
      </c>
      <c r="D2136" s="3">
        <v>45495.244606481479</v>
      </c>
      <c r="E2136" s="2" t="s">
        <v>1212</v>
      </c>
    </row>
    <row r="2137" spans="1:5" ht="42" x14ac:dyDescent="0.2">
      <c r="A2137" s="2" t="s">
        <v>1826</v>
      </c>
      <c r="B2137" s="2" t="str">
        <f>HYPERLINK("https://www.timworstall.com/2024/07/nominative-determinism-went-wrong-here-then/")</f>
        <v>https://www.timworstall.com/2024/07/nominative-determinism-went-wrong-here-then/</v>
      </c>
      <c r="C2137" s="2" t="s">
        <v>1827</v>
      </c>
      <c r="D2137" s="3">
        <v>45495.442997685182</v>
      </c>
      <c r="E2137" s="2" t="s">
        <v>1212</v>
      </c>
    </row>
    <row r="2138" spans="1:5" ht="56" x14ac:dyDescent="0.2">
      <c r="A2138" s="2" t="s">
        <v>145</v>
      </c>
      <c r="B2138" s="2" t="str">
        <f>HYPERLINK("https://bitebi.com/industry-funded-education-of-the-week-pork/")</f>
        <v>https://bitebi.com/industry-funded-education-of-the-week-pork/</v>
      </c>
      <c r="C2138" s="2" t="s">
        <v>15</v>
      </c>
      <c r="D2138" s="3">
        <v>45495.484861111108</v>
      </c>
      <c r="E2138" s="2" t="s">
        <v>146</v>
      </c>
    </row>
    <row r="2139" spans="1:5" ht="42" x14ac:dyDescent="0.2">
      <c r="A2139" s="2" t="s">
        <v>1933</v>
      </c>
      <c r="B2139" s="2" t="str">
        <f>HYPERLINK("https://www.truthdig.com/articles/baby-formula-documents-undercut-biden-administrations-claims-on-trade-policy/")</f>
        <v>https://www.truthdig.com/articles/baby-formula-documents-undercut-biden-administrations-claims-on-trade-policy/</v>
      </c>
      <c r="C2139" s="2" t="s">
        <v>1934</v>
      </c>
      <c r="D2139" s="3">
        <v>45495.512881944444</v>
      </c>
      <c r="E2139" s="2" t="s">
        <v>1212</v>
      </c>
    </row>
    <row r="2140" spans="1:5" ht="42" x14ac:dyDescent="0.2">
      <c r="A2140" s="2" t="s">
        <v>2632</v>
      </c>
      <c r="B2140" s="2" t="str">
        <f>HYPERLINK("https://truthout.org/articles/the-biden-administration-pressured-countries-to-weaken-baby-formula-health-rules/")</f>
        <v>https://truthout.org/articles/the-biden-administration-pressured-countries-to-weaken-baby-formula-health-rules/</v>
      </c>
      <c r="C2140" s="2" t="s">
        <v>2633</v>
      </c>
      <c r="D2140" s="3">
        <v>45495.556458333333</v>
      </c>
      <c r="E2140" s="2" t="s">
        <v>1212</v>
      </c>
    </row>
    <row r="2141" spans="1:5" ht="84" x14ac:dyDescent="0.2">
      <c r="A2141" s="2" t="s">
        <v>1598</v>
      </c>
      <c r="B2141" s="2" t="str">
        <f>HYPERLINK("https://www.nytimes.com/es/2024/07/22/espanol/beneficios-sustitutos-azucar.html")</f>
        <v>https://www.nytimes.com/es/2024/07/22/espanol/beneficios-sustitutos-azucar.html</v>
      </c>
      <c r="C2141" s="2" t="s">
        <v>3714</v>
      </c>
      <c r="D2141" s="3">
        <v>45495.55909722222</v>
      </c>
      <c r="E2141" s="2" t="s">
        <v>1600</v>
      </c>
    </row>
    <row r="2142" spans="1:5" ht="70" x14ac:dyDescent="0.2">
      <c r="A2142" s="2" t="s">
        <v>3542</v>
      </c>
      <c r="B2142" s="2" t="str">
        <f>HYPERLINK("https://www.eltiempo.com/cultura/gente/azucar-o-edulcorante-los-riesgos-de-los-sustitutos-artificiales-en-el-organismo-3364555")</f>
        <v>https://www.eltiempo.com/cultura/gente/azucar-o-edulcorante-los-riesgos-de-los-sustitutos-artificiales-en-el-organismo-3364555</v>
      </c>
      <c r="C2142" s="2" t="s">
        <v>3540</v>
      </c>
      <c r="D2142" s="3">
        <v>45495.669363425928</v>
      </c>
      <c r="E2142" s="2" t="s">
        <v>3543</v>
      </c>
    </row>
    <row r="2143" spans="1:5" ht="56" x14ac:dyDescent="0.2">
      <c r="A2143" s="2" t="s">
        <v>1210</v>
      </c>
      <c r="B2143" s="2" t="str">
        <f>HYPERLINK("https://www.mmm-online.com/home/channel/baby-formula-regulation-biden-administration-europe-taiwan/")</f>
        <v>https://www.mmm-online.com/home/channel/baby-formula-regulation-biden-administration-europe-taiwan/</v>
      </c>
      <c r="C2143" s="2" t="s">
        <v>1897</v>
      </c>
      <c r="D2143" s="3">
        <v>45495.684386574067</v>
      </c>
      <c r="E2143" s="2" t="s">
        <v>1212</v>
      </c>
    </row>
    <row r="2144" spans="1:5" ht="154" x14ac:dyDescent="0.2">
      <c r="A2144" s="2" t="s">
        <v>1122</v>
      </c>
      <c r="B2144" s="2" t="str">
        <f>HYPERLINK("http://pc.blogspot.com/2024/07/much-of-mess-we-are-in-can-be-blamed-in.html")</f>
        <v>http://pc.blogspot.com/2024/07/much-of-mess-we-are-in-can-be-blamed-in.html</v>
      </c>
      <c r="C2144" s="2" t="s">
        <v>1120</v>
      </c>
      <c r="D2144" s="3">
        <v>45495.718888888892</v>
      </c>
      <c r="E2144" s="2" t="s">
        <v>1121</v>
      </c>
    </row>
    <row r="2145" spans="1:5" ht="56" x14ac:dyDescent="0.2">
      <c r="A2145" s="2" t="s">
        <v>646</v>
      </c>
      <c r="B2145" s="2" t="str">
        <f>HYPERLINK("https://newsbeezer.com/colombiaeng/sugar-or-sweetener-the-risks-of-artificial-substitutes-in-the-body/")</f>
        <v>https://newsbeezer.com/colombiaeng/sugar-or-sweetener-the-risks-of-artificial-substitutes-in-the-body/</v>
      </c>
      <c r="C2145" s="2" t="s">
        <v>629</v>
      </c>
      <c r="D2145" s="3">
        <v>45495.939143518517</v>
      </c>
      <c r="E2145" s="2" t="s">
        <v>647</v>
      </c>
    </row>
    <row r="2146" spans="1:5" ht="84" x14ac:dyDescent="0.2">
      <c r="A2146" s="2" t="s">
        <v>2991</v>
      </c>
      <c r="B2146" s="2" t="str">
        <f>HYPERLINK("https://thenightly.com.au/society/health/are-artificial-sweeteners-safer-than-sugar-c-15447618")</f>
        <v>https://thenightly.com.au/society/health/are-artificial-sweeteners-safer-than-sugar-c-15447618</v>
      </c>
      <c r="C2146" s="2" t="s">
        <v>2992</v>
      </c>
      <c r="D2146" s="3">
        <v>45495.991655092592</v>
      </c>
      <c r="E2146" s="2" t="s">
        <v>2807</v>
      </c>
    </row>
    <row r="2147" spans="1:5" ht="154" x14ac:dyDescent="0.2">
      <c r="A2147" s="2" t="s">
        <v>1119</v>
      </c>
      <c r="B2147" s="2" t="str">
        <f>HYPERLINK("http://pc.blogspot.com/2024/07/bring-back-slow-news-days.html")</f>
        <v>http://pc.blogspot.com/2024/07/bring-back-slow-news-days.html</v>
      </c>
      <c r="C2147" s="2" t="s">
        <v>1120</v>
      </c>
      <c r="D2147" s="3">
        <v>45496.031168981477</v>
      </c>
      <c r="E2147" s="2" t="s">
        <v>1121</v>
      </c>
    </row>
    <row r="2148" spans="1:5" ht="140" x14ac:dyDescent="0.2">
      <c r="A2148" s="2" t="s">
        <v>1898</v>
      </c>
      <c r="B2148" s="2" t="str">
        <f>HYPERLINK("https://www.ehn.org/biden-s-baby-formula-trade-policies-put-corporate-interests-ahead-of-public-health-2668789534.html")</f>
        <v>https://www.ehn.org/biden-s-baby-formula-trade-policies-put-corporate-interests-ahead-of-public-health-2668789534.html</v>
      </c>
      <c r="C2148" s="2" t="s">
        <v>1899</v>
      </c>
      <c r="D2148" s="3">
        <v>45496.328472222223</v>
      </c>
      <c r="E2148" s="2" t="s">
        <v>1900</v>
      </c>
    </row>
    <row r="2149" spans="1:5" ht="56" x14ac:dyDescent="0.2">
      <c r="A2149" s="2" t="s">
        <v>2752</v>
      </c>
      <c r="B2149" s="2" t="str">
        <f>HYPERLINK("https://www.sandiegouniontribune.com/2024/07/23/is-there-really-such-a-thing-as-a-healthy-soda/")</f>
        <v>https://www.sandiegouniontribune.com/2024/07/23/is-there-really-such-a-thing-as-a-healthy-soda/</v>
      </c>
      <c r="C2149" s="2" t="s">
        <v>3124</v>
      </c>
      <c r="D2149" s="3">
        <v>45496.340057870373</v>
      </c>
      <c r="E2149" s="2" t="s">
        <v>2753</v>
      </c>
    </row>
    <row r="2150" spans="1:5" ht="154" x14ac:dyDescent="0.2">
      <c r="A2150" s="2" t="s">
        <v>184</v>
      </c>
      <c r="B2150" s="2" t="str">
        <f>HYPERLINK("https://bitebi.com/report-on-the-sustainable-development-goals-progress-not-much-alas/")</f>
        <v>https://bitebi.com/report-on-the-sustainable-development-goals-progress-not-much-alas/</v>
      </c>
      <c r="C2150" s="2" t="s">
        <v>15</v>
      </c>
      <c r="D2150" s="3">
        <v>45496.397777777784</v>
      </c>
      <c r="E2150" s="2" t="s">
        <v>185</v>
      </c>
    </row>
    <row r="2151" spans="1:5" ht="56" x14ac:dyDescent="0.2">
      <c r="A2151" s="2" t="s">
        <v>1210</v>
      </c>
      <c r="B2151" s="2" t="str">
        <f>HYPERLINK("https://www.thelundreport.org/content/biden-administration-says-its-trade-policy-puts-people-over-corporations-documents-baby")</f>
        <v>https://www.thelundreport.org/content/biden-administration-says-its-trade-policy-puts-people-over-corporations-documents-baby</v>
      </c>
      <c r="C2151" s="2" t="s">
        <v>1211</v>
      </c>
      <c r="D2151" s="3">
        <v>45496.586863425917</v>
      </c>
      <c r="E2151" s="2" t="s">
        <v>1212</v>
      </c>
    </row>
    <row r="2152" spans="1:5" ht="126" x14ac:dyDescent="0.2">
      <c r="A2152" s="2" t="s">
        <v>383</v>
      </c>
      <c r="B2152" s="2" t="str">
        <f>HYPERLINK("https://www.timenews24.it/terra-madre-salone-del-gusto-2024-we-are-nature/")</f>
        <v>https://www.timenews24.it/terra-madre-salone-del-gusto-2024-we-are-nature/</v>
      </c>
      <c r="C2152" s="2" t="s">
        <v>384</v>
      </c>
      <c r="D2152" s="3">
        <v>45496.79142361111</v>
      </c>
      <c r="E2152" s="2" t="s">
        <v>385</v>
      </c>
    </row>
    <row r="2153" spans="1:5" ht="84" x14ac:dyDescent="0.2">
      <c r="A2153" s="2" t="s">
        <v>3256</v>
      </c>
      <c r="B2153" s="2" t="str">
        <f>HYPERLINK("https://www.elpais.com.uy/bienestar/nutricion/azucar-o-edulcorantes-artificiales-cual-de-las-dos-opciones-es-mas-segura-para-la-salud")</f>
        <v>https://www.elpais.com.uy/bienestar/nutricion/azucar-o-edulcorantes-artificiales-cual-de-las-dos-opciones-es-mas-segura-para-la-salud</v>
      </c>
      <c r="C2153" s="2" t="s">
        <v>3257</v>
      </c>
      <c r="D2153" s="3">
        <v>45496.833333333343</v>
      </c>
      <c r="E2153" s="2" t="s">
        <v>3258</v>
      </c>
    </row>
    <row r="2154" spans="1:5" ht="70" x14ac:dyDescent="0.2">
      <c r="A2154" s="2" t="s">
        <v>1087</v>
      </c>
      <c r="B2154" s="2" t="str">
        <f>HYPERLINK("https://fnb.lulop.com/it_IT/post/show/300988/imparare-dalla-natura-per-guar.html")</f>
        <v>https://fnb.lulop.com/it_IT/post/show/300988/imparare-dalla-natura-per-guar.html</v>
      </c>
      <c r="C2154" s="2" t="s">
        <v>1284</v>
      </c>
      <c r="D2154" s="3">
        <v>45497</v>
      </c>
      <c r="E2154" s="2" t="s">
        <v>1089</v>
      </c>
    </row>
    <row r="2155" spans="1:5" ht="84" x14ac:dyDescent="0.2">
      <c r="A2155" s="2" t="s">
        <v>587</v>
      </c>
      <c r="B2155" s="2" t="str">
        <f>HYPERLINK("https://meat-milk.ro/en/article/regandirea-alimentelor-ultraprocesate-si-reformularea-produselor-UACrWD95")</f>
        <v>https://meat-milk.ro/en/article/regandirea-alimentelor-ultraprocesate-si-reformularea-produselor-UACrWD95</v>
      </c>
      <c r="C2155" s="2" t="s">
        <v>588</v>
      </c>
      <c r="D2155" s="3">
        <v>45497.015613425923</v>
      </c>
      <c r="E2155" s="2" t="s">
        <v>589</v>
      </c>
    </row>
    <row r="2156" spans="1:5" ht="84" x14ac:dyDescent="0.2">
      <c r="A2156" s="2" t="s">
        <v>587</v>
      </c>
      <c r="B2156" s="2" t="str">
        <f>HYPERLINK("https://meat-milk.ro/article/regandirea-alimentelor-ultraprocesate-si-reformularea-produselor-UACrWD95")</f>
        <v>https://meat-milk.ro/article/regandirea-alimentelor-ultraprocesate-si-reformularea-produselor-UACrWD95</v>
      </c>
      <c r="C2156" s="2" t="s">
        <v>588</v>
      </c>
      <c r="D2156" s="3">
        <v>45497.015613425923</v>
      </c>
      <c r="E2156" s="2" t="s">
        <v>589</v>
      </c>
    </row>
    <row r="2157" spans="1:5" ht="70" x14ac:dyDescent="0.2">
      <c r="A2157" s="2" t="s">
        <v>1830</v>
      </c>
      <c r="B2157" s="2" t="str">
        <f>HYPERLINK("https://scheerpost.com/2024/07/24/the-biden-administration-says-its-trade-policy-puts-people-over-corporations-documents-on-baby-formula-show-otherwise/")</f>
        <v>https://scheerpost.com/2024/07/24/the-biden-administration-says-its-trade-policy-puts-people-over-corporations-documents-on-baby-formula-show-otherwise/</v>
      </c>
      <c r="C2157" s="2" t="s">
        <v>1831</v>
      </c>
      <c r="D2157" s="3">
        <v>45497.276307870372</v>
      </c>
      <c r="E2157" s="2" t="s">
        <v>1212</v>
      </c>
    </row>
    <row r="2158" spans="1:5" ht="84" x14ac:dyDescent="0.2">
      <c r="A2158" s="2" t="s">
        <v>1598</v>
      </c>
      <c r="B2158" s="2" t="str">
        <f>HYPERLINK("https://www.clarin.com/new-york-times-international-weekly/edulcorantes-artificiales-seguros-azucar_0_PmkU110otB.html")</f>
        <v>https://www.clarin.com/new-york-times-international-weekly/edulcorantes-artificiales-seguros-azucar_0_PmkU110otB.html</v>
      </c>
      <c r="C2158" s="2" t="s">
        <v>3611</v>
      </c>
      <c r="D2158" s="3">
        <v>45497.446342592593</v>
      </c>
      <c r="E2158" s="2" t="s">
        <v>1600</v>
      </c>
    </row>
    <row r="2159" spans="1:5" ht="70" x14ac:dyDescent="0.2">
      <c r="A2159" s="2" t="s">
        <v>1087</v>
      </c>
      <c r="B2159" s="2" t="str">
        <f>HYPERLINK("https://www.imgpress.it/politica/imparare-dalla-natura-per-guardare-con-fiducia-al-futuro/")</f>
        <v>https://www.imgpress.it/politica/imparare-dalla-natura-per-guardare-con-fiducia-al-futuro/</v>
      </c>
      <c r="C2159" s="2" t="s">
        <v>1088</v>
      </c>
      <c r="D2159" s="3">
        <v>45497.462812500002</v>
      </c>
      <c r="E2159" s="2" t="s">
        <v>1089</v>
      </c>
    </row>
    <row r="2160" spans="1:5" ht="42" x14ac:dyDescent="0.2">
      <c r="A2160" s="2" t="s">
        <v>2508</v>
      </c>
      <c r="B2160" s="2" t="str">
        <f>HYPERLINK("https://childrenshealthdefense.org/defender/united-states-biden-weaken-baby-formula-regulations/")</f>
        <v>https://childrenshealthdefense.org/defender/united-states-biden-weaken-baby-formula-regulations/</v>
      </c>
      <c r="C2160" s="2" t="s">
        <v>2505</v>
      </c>
      <c r="D2160" s="3">
        <v>45497.555358796293</v>
      </c>
      <c r="E2160" s="2" t="s">
        <v>1212</v>
      </c>
    </row>
    <row r="2161" spans="1:5" ht="182" x14ac:dyDescent="0.2">
      <c r="A2161" s="2" t="s">
        <v>506</v>
      </c>
      <c r="B2161" s="2" t="str">
        <f>HYPERLINK("https://wdctv.news/publishers-platform-what-you-need-to-know-about-e-coli-during-and-outbreak/")</f>
        <v>https://wdctv.news/publishers-platform-what-you-need-to-know-about-e-coli-during-and-outbreak/</v>
      </c>
      <c r="C2161" s="2" t="s">
        <v>346</v>
      </c>
      <c r="D2161" s="3">
        <v>45497.74013888889</v>
      </c>
      <c r="E2161" s="2" t="s">
        <v>504</v>
      </c>
    </row>
    <row r="2162" spans="1:5" ht="126" x14ac:dyDescent="0.2">
      <c r="A2162" s="2" t="s">
        <v>506</v>
      </c>
      <c r="B2162" s="2" t="str">
        <f>HYPERLINK("https://www.foodsafetynews.com/2024/07/publishers-platform-what-you-need-to-know-about-e-coli-during-and-outbreak/")</f>
        <v>https://www.foodsafetynews.com/2024/07/publishers-platform-what-you-need-to-know-about-e-coli-during-and-outbreak/</v>
      </c>
      <c r="C2162" s="2" t="s">
        <v>2721</v>
      </c>
      <c r="D2162" s="3">
        <v>45497.741481481477</v>
      </c>
      <c r="E2162" s="2" t="s">
        <v>2856</v>
      </c>
    </row>
    <row r="2163" spans="1:5" ht="70" x14ac:dyDescent="0.2">
      <c r="A2163" s="2" t="s">
        <v>1087</v>
      </c>
      <c r="B2163" s="2" t="str">
        <f>HYPERLINK("https://notizieinunclick.com/imparare-dalla-natura-per-guardare-con-fiducia-al-futuro/")</f>
        <v>https://notizieinunclick.com/imparare-dalla-natura-per-guardare-con-fiducia-al-futuro/</v>
      </c>
      <c r="C2163" s="2" t="s">
        <v>3963</v>
      </c>
      <c r="D2163" s="3">
        <v>45497.796365740738</v>
      </c>
      <c r="E2163" s="2" t="s">
        <v>1089</v>
      </c>
    </row>
    <row r="2164" spans="1:5" ht="84" x14ac:dyDescent="0.2">
      <c r="A2164" s="2" t="s">
        <v>3448</v>
      </c>
      <c r="B2164" s="2" t="str">
        <f>HYPERLINK("https://gaya.tempo.co/read/1895536/mengenal-pemanis-buatan-pengganti-gula-mungkinkah-lebih-sehat-dari-gula")</f>
        <v>https://gaya.tempo.co/read/1895536/mengenal-pemanis-buatan-pengganti-gula-mungkinkah-lebih-sehat-dari-gula</v>
      </c>
      <c r="C2164" s="2" t="s">
        <v>3449</v>
      </c>
      <c r="D2164" s="3">
        <v>45497.928726851853</v>
      </c>
      <c r="E2164" s="2" t="s">
        <v>3450</v>
      </c>
    </row>
    <row r="2165" spans="1:5" ht="84" x14ac:dyDescent="0.2">
      <c r="A2165" s="2" t="s">
        <v>3351</v>
      </c>
      <c r="B2165" s="2" t="str">
        <f>HYPERLINK("https://www.nzherald.co.nz/lifestyle/are-artificial-sweeteners-safer-than-sugar/2GPZDAJH5BEGFCFQ5YFFU56FOY/")</f>
        <v>https://www.nzherald.co.nz/lifestyle/are-artificial-sweeteners-safer-than-sugar/2GPZDAJH5BEGFCFQ5YFFU56FOY/</v>
      </c>
      <c r="C2165" s="2" t="s">
        <v>3352</v>
      </c>
      <c r="D2165" s="3">
        <v>45498.547893518517</v>
      </c>
      <c r="E2165" s="2" t="s">
        <v>2807</v>
      </c>
    </row>
    <row r="2166" spans="1:5" ht="56" x14ac:dyDescent="0.2">
      <c r="A2166" s="2" t="s">
        <v>1871</v>
      </c>
      <c r="B2166" s="2" t="str">
        <f>HYPERLINK("https://www.thefocus.news/lifestyle/superfoods-arent-real-because-theyre-just-a-marketing-term-nutritionist-says/")</f>
        <v>https://www.thefocus.news/lifestyle/superfoods-arent-real-because-theyre-just-a-marketing-term-nutritionist-says/</v>
      </c>
      <c r="C2166" s="2" t="s">
        <v>1869</v>
      </c>
      <c r="D2166" s="3">
        <v>45500.012754629628</v>
      </c>
      <c r="E2166" s="2" t="s">
        <v>1872</v>
      </c>
    </row>
    <row r="2167" spans="1:5" ht="84" x14ac:dyDescent="0.2">
      <c r="A2167" s="2" t="s">
        <v>3878</v>
      </c>
      <c r="B2167" s="2" t="str">
        <f>HYPERLINK("https://inilahjatim.com/apakah-pemanis-buatan-lebih-aman-daripada-gula-ini-hasil-penelitiannya/")</f>
        <v>https://inilahjatim.com/apakah-pemanis-buatan-lebih-aman-daripada-gula-ini-hasil-penelitiannya/</v>
      </c>
      <c r="C2167" s="2" t="s">
        <v>3879</v>
      </c>
      <c r="D2167" s="3">
        <v>45500.474999999999</v>
      </c>
      <c r="E2167" s="2" t="s">
        <v>3880</v>
      </c>
    </row>
    <row r="2168" spans="1:5" ht="84" x14ac:dyDescent="0.2">
      <c r="A2168" s="2" t="s">
        <v>3878</v>
      </c>
      <c r="B2168" s="2" t="str">
        <f>HYPERLINK("https://inilahsumbar.com/apakah-pemanis-buatan-lebih-aman-daripada-gula-ini-hasil-penelitiannya/")</f>
        <v>https://inilahsumbar.com/apakah-pemanis-buatan-lebih-aman-daripada-gula-ini-hasil-penelitiannya/</v>
      </c>
      <c r="C2168" s="2" t="s">
        <v>3931</v>
      </c>
      <c r="D2168" s="3">
        <v>45500.474999999999</v>
      </c>
      <c r="E2168" s="2" t="s">
        <v>3880</v>
      </c>
    </row>
    <row r="2169" spans="1:5" ht="84" x14ac:dyDescent="0.2">
      <c r="A2169" s="2" t="s">
        <v>3878</v>
      </c>
      <c r="B2169" s="2" t="str">
        <f>HYPERLINK("https://inilahkalsel.com/apakah-pemanis-buatan-lebih-aman-daripada-gula-ini-hasil-penelitiannya/")</f>
        <v>https://inilahkalsel.com/apakah-pemanis-buatan-lebih-aman-daripada-gula-ini-hasil-penelitiannya/</v>
      </c>
      <c r="C2169" s="2" t="s">
        <v>4015</v>
      </c>
      <c r="D2169" s="3">
        <v>45500.474999999999</v>
      </c>
      <c r="E2169" s="2" t="s">
        <v>3880</v>
      </c>
    </row>
    <row r="2170" spans="1:5" ht="98" x14ac:dyDescent="0.2">
      <c r="A2170" s="2" t="s">
        <v>3452</v>
      </c>
      <c r="B2170" s="2" t="str">
        <f>HYPERLINK("https://www.health.com/grilling-meat-carcinogens-cancer-risk-8677095")</f>
        <v>https://www.health.com/grilling-meat-carcinogens-cancer-risk-8677095</v>
      </c>
      <c r="C2170" s="2" t="s">
        <v>3453</v>
      </c>
      <c r="D2170" s="3">
        <v>45502.381724537037</v>
      </c>
      <c r="E2170" s="2" t="s">
        <v>3454</v>
      </c>
    </row>
    <row r="2171" spans="1:5" ht="70" x14ac:dyDescent="0.2">
      <c r="A2171" s="2" t="s">
        <v>2197</v>
      </c>
      <c r="B2171" s="2" t="str">
        <f>HYPERLINK("https://www.sott.net/article/493526-The-Biden-Administration-says-its-trade-policy-puts-people-over-corporations-Documents-on-baby-formula-show-otherwise")</f>
        <v>https://www.sott.net/article/493526-The-Biden-Administration-says-its-trade-policy-puts-people-over-corporations-Documents-on-baby-formula-show-otherwise</v>
      </c>
      <c r="C2171" s="2" t="s">
        <v>2198</v>
      </c>
      <c r="D2171" s="3">
        <v>45502.39439814815</v>
      </c>
      <c r="E2171" s="2" t="s">
        <v>2199</v>
      </c>
    </row>
    <row r="2172" spans="1:5" ht="84" x14ac:dyDescent="0.2">
      <c r="A2172" s="2" t="s">
        <v>3357</v>
      </c>
      <c r="B2172" s="2" t="str">
        <f>HYPERLINK("https://www.straitstimes.com/life/looking-for-answers-on-the-safety-of-artificial-sweeteners")</f>
        <v>https://www.straitstimes.com/life/looking-for-answers-on-the-safety-of-artificial-sweeteners</v>
      </c>
      <c r="C2172" s="2" t="s">
        <v>3355</v>
      </c>
      <c r="D2172" s="3">
        <v>45502.967418981483</v>
      </c>
      <c r="E2172" s="2" t="s">
        <v>3358</v>
      </c>
    </row>
    <row r="2173" spans="1:5" ht="84" x14ac:dyDescent="0.2">
      <c r="A2173" s="2" t="s">
        <v>3562</v>
      </c>
      <c r="B2173" s="2" t="str">
        <f>HYPERLINK("https://www.hurriyet.com.tr/aile/gercekten-cok-yedigimiz-icin-mi-kilo-aliyoruz-patates-inek-sutu-yagli-besinler-zararli-mi-uzmanlarin-yeter-artik-dedigi-10-beslenme-efsanesi-42494582")</f>
        <v>https://www.hurriyet.com.tr/aile/gercekten-cok-yedigimiz-icin-mi-kilo-aliyoruz-patates-inek-sutu-yagli-besinler-zararli-mi-uzmanlarin-yeter-artik-dedigi-10-beslenme-efsanesi-42494582</v>
      </c>
      <c r="C2173" s="2" t="s">
        <v>3560</v>
      </c>
      <c r="D2173" s="3">
        <v>45503.194768518522</v>
      </c>
      <c r="E2173" s="2" t="s">
        <v>3563</v>
      </c>
    </row>
    <row r="2174" spans="1:5" ht="56" x14ac:dyDescent="0.2">
      <c r="A2174" s="2" t="s">
        <v>3724</v>
      </c>
      <c r="B2174" s="2" t="str">
        <f>HYPERLINK("https://www.nytimes.com/2024/07/30/well/eat/ultraprocessed-foods-diet-study.html")</f>
        <v>https://www.nytimes.com/2024/07/30/well/eat/ultraprocessed-foods-diet-study.html</v>
      </c>
      <c r="C2174" s="2" t="s">
        <v>3717</v>
      </c>
      <c r="D2174" s="3">
        <v>45503.218935185178</v>
      </c>
      <c r="E2174" s="2" t="s">
        <v>3725</v>
      </c>
    </row>
    <row r="2175" spans="1:5" ht="70" x14ac:dyDescent="0.2">
      <c r="A2175" s="2" t="s">
        <v>505</v>
      </c>
      <c r="B2175" s="2" t="str">
        <f>HYPERLINK("https://finance.yahoo.com/news/weight-loss-drugs-shaking-big-093122795.html")</f>
        <v>https://finance.yahoo.com/news/weight-loss-drugs-shaking-big-093122795.html</v>
      </c>
      <c r="C2175" s="2" t="s">
        <v>3642</v>
      </c>
      <c r="D2175" s="3">
        <v>45503.230115740742</v>
      </c>
      <c r="E2175" s="2" t="s">
        <v>217</v>
      </c>
    </row>
    <row r="2176" spans="1:5" ht="56" x14ac:dyDescent="0.2">
      <c r="A2176" s="2" t="s">
        <v>2884</v>
      </c>
      <c r="B2176" s="2" t="str">
        <f>HYPERLINK("https://dnyuz.com/2024/07/30/why-exactly-are-ultraprocessed-foods-so-hard-to-resist-this-study-is-trying-to-find-out/")</f>
        <v>https://dnyuz.com/2024/07/30/why-exactly-are-ultraprocessed-foods-so-hard-to-resist-this-study-is-trying-to-find-out/</v>
      </c>
      <c r="C2176" s="2" t="s">
        <v>2847</v>
      </c>
      <c r="D2176" s="3">
        <v>45503.240300925929</v>
      </c>
      <c r="E2176" s="2" t="s">
        <v>2805</v>
      </c>
    </row>
    <row r="2177" spans="1:5" ht="70" x14ac:dyDescent="0.2">
      <c r="A2177" s="2" t="s">
        <v>3402</v>
      </c>
      <c r="B2177" s="2" t="str">
        <f>HYPERLINK("https://www.today.it/speciale/game-changer/terra-madre-we-are-nature.html")</f>
        <v>https://www.today.it/speciale/game-changer/terra-madre-we-are-nature.html</v>
      </c>
      <c r="C2177" s="2" t="s">
        <v>3403</v>
      </c>
      <c r="D2177" s="3">
        <v>45503.352581018517</v>
      </c>
      <c r="E2177" s="2" t="s">
        <v>1089</v>
      </c>
    </row>
    <row r="2178" spans="1:5" ht="56" x14ac:dyDescent="0.2">
      <c r="A2178" s="2" t="s">
        <v>578</v>
      </c>
      <c r="B2178" s="2" t="str">
        <f>HYPERLINK("https://www.moneyhaat.com/cooking-food/easy-healthy-meals/obesity-and-a-toxic-food-environment/")</f>
        <v>https://www.moneyhaat.com/cooking-food/easy-healthy-meals/obesity-and-a-toxic-food-environment/</v>
      </c>
      <c r="C2178" s="2" t="s">
        <v>579</v>
      </c>
      <c r="D2178" s="3">
        <v>45503.38958333333</v>
      </c>
      <c r="E2178" s="2" t="s">
        <v>580</v>
      </c>
    </row>
    <row r="2179" spans="1:5" ht="70" x14ac:dyDescent="0.2">
      <c r="A2179" s="2" t="s">
        <v>505</v>
      </c>
      <c r="B2179" s="2" t="str">
        <f>HYPERLINK("https://wdctv.news/weight-loss-drugs-are-shaking-up-big-food-ag-and-health-experts-weigh-in-on-what-the-industry-should-do/")</f>
        <v>https://wdctv.news/weight-loss-drugs-are-shaking-up-big-food-ag-and-health-experts-weigh-in-on-what-the-industry-should-do/</v>
      </c>
      <c r="C2179" s="2" t="s">
        <v>346</v>
      </c>
      <c r="D2179" s="3">
        <v>45503.396782407413</v>
      </c>
      <c r="E2179" s="2" t="s">
        <v>217</v>
      </c>
    </row>
    <row r="2180" spans="1:5" ht="70" x14ac:dyDescent="0.2">
      <c r="A2180" s="2" t="s">
        <v>505</v>
      </c>
      <c r="B2180" s="2" t="str">
        <f>HYPERLINK("https://www.fooddive.com/news/weight-loss-drugs-shaking-big-food-ag-health-experts-weigh/722741/")</f>
        <v>https://www.fooddive.com/news/weight-loss-drugs-shaking-big-food-ag-health-experts-weigh/722741/</v>
      </c>
      <c r="C2180" s="2" t="s">
        <v>2178</v>
      </c>
      <c r="D2180" s="3">
        <v>45503.447476851848</v>
      </c>
      <c r="E2180" s="2" t="s">
        <v>217</v>
      </c>
    </row>
    <row r="2181" spans="1:5" ht="42" x14ac:dyDescent="0.2">
      <c r="A2181" s="2" t="s">
        <v>1464</v>
      </c>
      <c r="B2181" s="2" t="str">
        <f>HYPERLINK("https://www.thefencepost.com/news/cdc-to-vaccinate-livestock-workers-for-seasonal-flu-in-bird-flu-campaign/")</f>
        <v>https://www.thefencepost.com/news/cdc-to-vaccinate-livestock-workers-for-seasonal-flu-in-bird-flu-campaign/</v>
      </c>
      <c r="C2181" s="2" t="s">
        <v>1465</v>
      </c>
      <c r="D2181" s="3">
        <v>45503.563587962963</v>
      </c>
      <c r="E2181" s="2" t="s">
        <v>1466</v>
      </c>
    </row>
    <row r="2182" spans="1:5" ht="182" x14ac:dyDescent="0.2">
      <c r="A2182" s="2" t="s">
        <v>3668</v>
      </c>
      <c r="B2182" s="2" t="str">
        <f>HYPERLINK("https://medium.com/@abirhayet35/marion-nestle-a-deep-dive-into-food-politics-nutrition-and-the-impact-of-the-food-industry-0093932608b1")</f>
        <v>https://medium.com/@abirhayet35/marion-nestle-a-deep-dive-into-food-politics-nutrition-and-the-impact-of-the-food-industry-0093932608b1</v>
      </c>
      <c r="C2182" s="2" t="s">
        <v>3669</v>
      </c>
      <c r="D2182" s="3">
        <v>45503.565648148149</v>
      </c>
      <c r="E2182" s="2" t="s">
        <v>3670</v>
      </c>
    </row>
    <row r="2183" spans="1:5" ht="42" x14ac:dyDescent="0.2">
      <c r="A2183" s="2" t="s">
        <v>1464</v>
      </c>
      <c r="B2183" s="2" t="str">
        <f>HYPERLINK("https://freerepublic.com/focus/f-news/4255290/posts")</f>
        <v>https://freerepublic.com/focus/f-news/4255290/posts</v>
      </c>
      <c r="C2183" s="2" t="s">
        <v>2287</v>
      </c>
      <c r="D2183" s="3">
        <v>45504.416226851848</v>
      </c>
      <c r="E2183" s="2" t="s">
        <v>1466</v>
      </c>
    </row>
    <row r="2184" spans="1:5" ht="56" x14ac:dyDescent="0.2">
      <c r="A2184" s="2" t="s">
        <v>103</v>
      </c>
      <c r="B2184" s="2" t="str">
        <f>HYPERLINK("https://bitebi.com/food-politics-at-the-olympics-kick-big-soda-out/")</f>
        <v>https://bitebi.com/food-politics-at-the-olympics-kick-big-soda-out/</v>
      </c>
      <c r="C2184" s="2" t="s">
        <v>15</v>
      </c>
      <c r="D2184" s="3">
        <v>45504.525219907409</v>
      </c>
      <c r="E2184" s="2" t="s">
        <v>104</v>
      </c>
    </row>
    <row r="2185" spans="1:5" ht="140" x14ac:dyDescent="0.2">
      <c r="A2185" s="2" t="s">
        <v>3742</v>
      </c>
      <c r="B2185" s="2" t="str">
        <f>HYPERLINK("https://n1info.hr/zdravlje/povecava-li-rostiljanje-mesa-rizik-od-raka/")</f>
        <v>https://n1info.hr/zdravlje/povecava-li-rostiljanje-mesa-rizik-od-raka/</v>
      </c>
      <c r="C2185" s="2" t="s">
        <v>3743</v>
      </c>
      <c r="D2185" s="3">
        <v>45504.612685185188</v>
      </c>
      <c r="E2185" s="2" t="s">
        <v>3744</v>
      </c>
    </row>
    <row r="2186" spans="1:5" ht="98" x14ac:dyDescent="0.2">
      <c r="A2186" s="2" t="s">
        <v>3411</v>
      </c>
      <c r="B2186" s="2" t="str">
        <f>HYPERLINK("https://nova.rs/magazin/zdravlje/doktori-otkrivaju-da-li-spremanje-hrane-na-rostilju-povecava-rizik-od-raka/")</f>
        <v>https://nova.rs/magazin/zdravlje/doktori-otkrivaju-da-li-spremanje-hrane-na-rostilju-povecava-rizik-od-raka/</v>
      </c>
      <c r="C2186" s="2" t="s">
        <v>3412</v>
      </c>
      <c r="D2186" s="3">
        <v>45504.63144675926</v>
      </c>
      <c r="E2186" s="2" t="s">
        <v>3413</v>
      </c>
    </row>
    <row r="2187" spans="1:5" ht="56" x14ac:dyDescent="0.2">
      <c r="A2187" s="2" t="s">
        <v>542</v>
      </c>
      <c r="B2187" s="2" t="str">
        <f>HYPERLINK("https://www.newsbreak.com/news/3547207084152-let-s-not-fool-ourselves-about-yogurt")</f>
        <v>https://www.newsbreak.com/news/3547207084152-let-s-not-fool-ourselves-about-yogurt</v>
      </c>
      <c r="C2187" s="2" t="s">
        <v>3461</v>
      </c>
      <c r="D2187" s="3">
        <v>45505.361203703702</v>
      </c>
      <c r="E2187" s="2" t="s">
        <v>3483</v>
      </c>
    </row>
    <row r="2188" spans="1:5" ht="126" x14ac:dyDescent="0.2">
      <c r="A2188" s="2" t="s">
        <v>3620</v>
      </c>
      <c r="B2188" s="2" t="str">
        <f>HYPERLINK("https://diannejacob.substack.com/p/a-10-off-sale-and-a-book-giveaway?triedRedirect=true")</f>
        <v>https://diannejacob.substack.com/p/a-10-off-sale-and-a-book-giveaway?triedRedirect=true</v>
      </c>
      <c r="C2188" s="2" t="s">
        <v>3615</v>
      </c>
      <c r="D2188" s="3">
        <v>45505.376203703701</v>
      </c>
      <c r="E2188" s="2" t="s">
        <v>3621</v>
      </c>
    </row>
    <row r="2189" spans="1:5" ht="56" x14ac:dyDescent="0.2">
      <c r="A2189" s="2" t="s">
        <v>204</v>
      </c>
      <c r="B2189" s="2" t="str">
        <f>HYPERLINK("https://www.deleciousfood.com/lets-not-kid-ourselves-about-yogurt/")</f>
        <v>https://www.deleciousfood.com/lets-not-kid-ourselves-about-yogurt/</v>
      </c>
      <c r="C2189" s="2" t="s">
        <v>200</v>
      </c>
      <c r="D2189" s="3">
        <v>45505.40284722222</v>
      </c>
      <c r="E2189" s="2" t="s">
        <v>205</v>
      </c>
    </row>
    <row r="2190" spans="1:5" ht="56" x14ac:dyDescent="0.2">
      <c r="A2190" s="2" t="s">
        <v>542</v>
      </c>
      <c r="B2190" s="2" t="str">
        <f>HYPERLINK("https://wdcnews6.com/lets-not-fool-ourselves-about-yogurt/")</f>
        <v>https://wdcnews6.com/lets-not-fool-ourselves-about-yogurt/</v>
      </c>
      <c r="C2190" s="2" t="s">
        <v>541</v>
      </c>
      <c r="D2190" s="3">
        <v>45505.41851851852</v>
      </c>
      <c r="E2190" s="2" t="s">
        <v>543</v>
      </c>
    </row>
    <row r="2191" spans="1:5" ht="98" x14ac:dyDescent="0.2">
      <c r="A2191" s="2" t="s">
        <v>513</v>
      </c>
      <c r="B2191" s="2" t="str">
        <f>HYPERLINK("https://www.insighttrendsworld.com/post/insight-of-the-day-why-exactly-are-ultraprocessed-foods-so-hard-to-resist-this-study-is-trying-t")</f>
        <v>https://www.insighttrendsworld.com/post/insight-of-the-day-why-exactly-are-ultraprocessed-foods-so-hard-to-resist-this-study-is-trying-t</v>
      </c>
      <c r="C2191" s="2" t="s">
        <v>514</v>
      </c>
      <c r="D2191" s="3">
        <v>45505.714074074072</v>
      </c>
      <c r="E2191" s="2" t="s">
        <v>515</v>
      </c>
    </row>
    <row r="2192" spans="1:5" ht="56" x14ac:dyDescent="0.2">
      <c r="A2192" s="2" t="s">
        <v>1868</v>
      </c>
      <c r="B2192" s="2" t="str">
        <f>HYPERLINK("https://www.thefocus.news/lifestyle/nutritionist-says-you-should-always-avoid-the-items-placed-next-to-supermarket-checkouts/")</f>
        <v>https://www.thefocus.news/lifestyle/nutritionist-says-you-should-always-avoid-the-items-placed-next-to-supermarket-checkouts/</v>
      </c>
      <c r="C2192" s="2" t="s">
        <v>1869</v>
      </c>
      <c r="D2192" s="3">
        <v>45505.758252314823</v>
      </c>
      <c r="E2192" s="2" t="s">
        <v>1870</v>
      </c>
    </row>
    <row r="2193" spans="1:5" ht="42" x14ac:dyDescent="0.2">
      <c r="A2193" s="2" t="s">
        <v>1616</v>
      </c>
      <c r="B2193" s="2" t="str">
        <f>HYPERLINK("https://www.tsln.com/news/cdc-to-vaccinate-livestock-workers-for-seasonal-flu-in-bird-flu-campaign/")</f>
        <v>https://www.tsln.com/news/cdc-to-vaccinate-livestock-workers-for-seasonal-flu-in-bird-flu-campaign/</v>
      </c>
      <c r="C2193" s="2" t="s">
        <v>1617</v>
      </c>
      <c r="D2193" s="3">
        <v>45505.984756944446</v>
      </c>
      <c r="E2193" s="2" t="s">
        <v>1466</v>
      </c>
    </row>
    <row r="2194" spans="1:5" ht="84" x14ac:dyDescent="0.2">
      <c r="A2194" s="2" t="s">
        <v>3189</v>
      </c>
      <c r="B2194" s="2" t="str">
        <f>HYPERLINK("https://ziare.com/alimente-procesate/alimentele-ultraprocesate-reduc-viata-multi-ani-1885810")</f>
        <v>https://ziare.com/alimente-procesate/alimentele-ultraprocesate-reduc-viata-multi-ani-1885810</v>
      </c>
      <c r="C2194" s="2" t="s">
        <v>3188</v>
      </c>
      <c r="D2194" s="3">
        <v>45506.804178240738</v>
      </c>
      <c r="E2194" s="2" t="s">
        <v>2335</v>
      </c>
    </row>
    <row r="2195" spans="1:5" ht="70" x14ac:dyDescent="0.2">
      <c r="A2195" s="2" t="s">
        <v>3676</v>
      </c>
      <c r="B2195" s="2" t="str">
        <f>HYPERLINK("https://medium.com/@chimichanga_changa/book-review-in-defense-of-food-by-michael-pollan-f230f19337bb")</f>
        <v>https://medium.com/@chimichanga_changa/book-review-in-defense-of-food-by-michael-pollan-f230f19337bb</v>
      </c>
      <c r="C2195" s="2" t="s">
        <v>3669</v>
      </c>
      <c r="D2195" s="3">
        <v>45506.85255787037</v>
      </c>
      <c r="E2195" s="2" t="s">
        <v>3677</v>
      </c>
    </row>
    <row r="2196" spans="1:5" ht="84" x14ac:dyDescent="0.2">
      <c r="A2196" s="2" t="s">
        <v>2336</v>
      </c>
      <c r="B2196" s="2" t="str">
        <f>HYPERLINK("https://www.ziuanews.ro/cancan/descoperire-dup-30-de-ani-de-cercet-ri-alimentele-care-scurteaz-cu-mul-i-ani-via-a-1583931")</f>
        <v>https://www.ziuanews.ro/cancan/descoperire-dup-30-de-ani-de-cercet-ri-alimentele-care-scurteaz-cu-mul-i-ani-via-a-1583931</v>
      </c>
      <c r="C2196" s="2" t="s">
        <v>2334</v>
      </c>
      <c r="D2196" s="3">
        <v>45507</v>
      </c>
      <c r="E2196" s="2" t="s">
        <v>2335</v>
      </c>
    </row>
    <row r="2197" spans="1:5" ht="84" x14ac:dyDescent="0.2">
      <c r="A2197" s="2" t="s">
        <v>2118</v>
      </c>
      <c r="B2197" s="2" t="str">
        <f>HYPERLINK("https://www.lajornadamaya.mx/opinion/234840/prejuicios-sobre-el-conocimiento-experto-en-la-reforma-judicial")</f>
        <v>https://www.lajornadamaya.mx/opinion/234840/prejuicios-sobre-el-conocimiento-experto-en-la-reforma-judicial</v>
      </c>
      <c r="C2197" s="2" t="s">
        <v>2119</v>
      </c>
      <c r="D2197" s="3">
        <v>45508</v>
      </c>
      <c r="E2197" s="2" t="s">
        <v>2120</v>
      </c>
    </row>
    <row r="2198" spans="1:5" ht="42" x14ac:dyDescent="0.2">
      <c r="A2198" s="2" t="s">
        <v>2803</v>
      </c>
      <c r="B2198" s="2" t="str">
        <f>HYPERLINK("https://cnalifestyle.channelnewsasia.com/wellness/ultraprocessed-food-diet-study-394196")</f>
        <v>https://cnalifestyle.channelnewsasia.com/wellness/ultraprocessed-food-diet-study-394196</v>
      </c>
      <c r="C2198" s="2" t="s">
        <v>2804</v>
      </c>
      <c r="D2198" s="3">
        <v>45508.816423611112</v>
      </c>
      <c r="E2198" s="2" t="s">
        <v>2805</v>
      </c>
    </row>
    <row r="2199" spans="1:5" ht="42" x14ac:dyDescent="0.2">
      <c r="A2199" s="2" t="s">
        <v>2803</v>
      </c>
      <c r="B2199" s="2" t="str">
        <f>HYPERLINK("https://thenews.sg/why-exactly-are-ultraprocessed-foods-so-hard-to-resist-this-study-is-trying-to-find-out/")</f>
        <v>https://thenews.sg/why-exactly-are-ultraprocessed-foods-so-hard-to-resist-this-study-is-trying-to-find-out/</v>
      </c>
      <c r="C2199" s="2" t="s">
        <v>3827</v>
      </c>
      <c r="D2199" s="3">
        <v>45508.860439814824</v>
      </c>
      <c r="E2199" s="2" t="s">
        <v>2805</v>
      </c>
    </row>
    <row r="2200" spans="1:5" ht="84" x14ac:dyDescent="0.2">
      <c r="A2200" s="2" t="s">
        <v>3702</v>
      </c>
      <c r="B2200" s="2" t="str">
        <f>HYPERLINK("https://www.forbes.com/sites/garystern/2024/08/05/air-fried-chicken-tender-sandwich-introduced-at-true-food-kitchen/")</f>
        <v>https://www.forbes.com/sites/garystern/2024/08/05/air-fried-chicken-tender-sandwich-introduced-at-true-food-kitchen/</v>
      </c>
      <c r="C2200" s="2" t="s">
        <v>3695</v>
      </c>
      <c r="D2200" s="3">
        <v>45509.363287037027</v>
      </c>
      <c r="E2200" s="2" t="s">
        <v>3703</v>
      </c>
    </row>
    <row r="2201" spans="1:5" ht="70" x14ac:dyDescent="0.2">
      <c r="A2201" s="2" t="s">
        <v>1195</v>
      </c>
      <c r="B2201" s="2" t="str">
        <f>HYPERLINK("https://www.worldstockmarket.net/see-which-foods-can-reduce-the-risk-of-heart-and-kidney-disease/")</f>
        <v>https://www.worldstockmarket.net/see-which-foods-can-reduce-the-risk-of-heart-and-kidney-disease/</v>
      </c>
      <c r="C2201" s="2" t="s">
        <v>1196</v>
      </c>
      <c r="D2201" s="3">
        <v>45510</v>
      </c>
      <c r="E2201" s="2" t="s">
        <v>1197</v>
      </c>
    </row>
    <row r="2202" spans="1:5" ht="112" x14ac:dyDescent="0.2">
      <c r="A2202" s="2" t="s">
        <v>713</v>
      </c>
      <c r="B2202" s="2" t="str">
        <f>HYPERLINK("https://www.kdrv.com/news/healthwatch/a-diet-high-in-fruits-and-vegetables-may-reduce-your-heart-and-kidney-disease-risk/article_d7b8cc46-fd12-5741-9fdb-d0440e620600.html")</f>
        <v>https://www.kdrv.com/news/healthwatch/a-diet-high-in-fruits-and-vegetables-may-reduce-your-heart-and-kidney-disease-risk/article_d7b8cc46-fd12-5741-9fdb-d0440e620600.html</v>
      </c>
      <c r="C2202" s="2" t="s">
        <v>2152</v>
      </c>
      <c r="D2202" s="3">
        <v>45510</v>
      </c>
      <c r="E2202" s="2" t="s">
        <v>714</v>
      </c>
    </row>
    <row r="2203" spans="1:5" ht="112" x14ac:dyDescent="0.2">
      <c r="A2203" s="2" t="s">
        <v>713</v>
      </c>
      <c r="B2203" s="2" t="str">
        <f>HYPERLINK("https://www.kimt.com/news/a-diet-high-in-fruits-and-vegetables-may-reduce-your-heart-and-kidney-disease-risk/article_d25006c8-cf32-5a37-9365-183970f72658.html")</f>
        <v>https://www.kimt.com/news/a-diet-high-in-fruits-and-vegetables-may-reduce-your-heart-and-kidney-disease-risk/article_d25006c8-cf32-5a37-9365-183970f72658.html</v>
      </c>
      <c r="C2203" s="2" t="s">
        <v>2285</v>
      </c>
      <c r="D2203" s="3">
        <v>45510</v>
      </c>
      <c r="E2203" s="2" t="s">
        <v>714</v>
      </c>
    </row>
    <row r="2204" spans="1:5" ht="112" x14ac:dyDescent="0.2">
      <c r="A2204" s="2" t="s">
        <v>811</v>
      </c>
      <c r="B2204" s="2" t="str">
        <f>HYPERLINK("https://www.ktbs.com/health/a-diet-high-in-fruits-and-vegetables-may-reduce-your-heart-and-kidney-disease-risk/article_3f39cab2-ee42-5650-b126-7f050c20f758.html")</f>
        <v>https://www.ktbs.com/health/a-diet-high-in-fruits-and-vegetables-may-reduce-your-heart-and-kidney-disease-risk/article_3f39cab2-ee42-5650-b126-7f050c20f758.html</v>
      </c>
      <c r="C2204" s="2" t="s">
        <v>2216</v>
      </c>
      <c r="D2204" s="3">
        <v>45510</v>
      </c>
      <c r="E2204" s="2" t="s">
        <v>714</v>
      </c>
    </row>
    <row r="2205" spans="1:5" ht="112" x14ac:dyDescent="0.2">
      <c r="A2205" s="2" t="s">
        <v>811</v>
      </c>
      <c r="B2205" s="2" t="str">
        <f>HYPERLINK("https://www.news8000.com/lifestyle/health/a-diet-high-in-fruits-and-vegetables-may-reduce-your-heart-and-kidney-disease-risk/article_56c5011c-6e6c-542b-bdb9-3956f6bbafbc.html")</f>
        <v>https://www.news8000.com/lifestyle/health/a-diet-high-in-fruits-and-vegetables-may-reduce-your-heart-and-kidney-disease-risk/article_56c5011c-6e6c-542b-bdb9-3956f6bbafbc.html</v>
      </c>
      <c r="C2205" s="2" t="s">
        <v>2192</v>
      </c>
      <c r="D2205" s="3">
        <v>45510</v>
      </c>
      <c r="E2205" s="2" t="s">
        <v>714</v>
      </c>
    </row>
    <row r="2206" spans="1:5" ht="84" x14ac:dyDescent="0.2">
      <c r="A2206" s="2" t="s">
        <v>811</v>
      </c>
      <c r="B2206" s="2" t="str">
        <f>HYPERLINK("https://www.aol.com/news/diet-high-fruits-vegetables-may-040101498.html")</f>
        <v>https://www.aol.com/news/diet-high-fruits-vegetables-may-040101498.html</v>
      </c>
      <c r="C2206" s="2" t="s">
        <v>3592</v>
      </c>
      <c r="D2206" s="3">
        <v>45510.000706018523</v>
      </c>
      <c r="E2206" s="2" t="s">
        <v>407</v>
      </c>
    </row>
    <row r="2207" spans="1:5" ht="84" x14ac:dyDescent="0.2">
      <c r="A2207" s="2" t="s">
        <v>811</v>
      </c>
      <c r="B2207" s="2" t="str">
        <f>HYPERLINK("https://www.yahoo.com/lifestyle/diet-high-fruits-vegetables-may-040101580.html")</f>
        <v>https://www.yahoo.com/lifestyle/diet-high-fruits-vegetables-may-040101580.html</v>
      </c>
      <c r="C2207" s="2" t="s">
        <v>3726</v>
      </c>
      <c r="D2207" s="3">
        <v>45510.000706018523</v>
      </c>
      <c r="E2207" s="2" t="s">
        <v>407</v>
      </c>
    </row>
    <row r="2208" spans="1:5" ht="112" x14ac:dyDescent="0.2">
      <c r="A2208" s="2" t="s">
        <v>811</v>
      </c>
      <c r="B2208" s="2" t="str">
        <f>HYPERLINK("https://www.cnn.com/2024/08/06/health/fruits-vegetables-heart-kidney-disease-wellness/index.html")</f>
        <v>https://www.cnn.com/2024/08/06/health/fruits-vegetables-heart-kidney-disease-wellness/index.html</v>
      </c>
      <c r="C2208" s="2" t="s">
        <v>3705</v>
      </c>
      <c r="D2208" s="3">
        <v>45510.003217592603</v>
      </c>
      <c r="E2208" s="2" t="s">
        <v>714</v>
      </c>
    </row>
    <row r="2209" spans="1:5" ht="84" x14ac:dyDescent="0.2">
      <c r="A2209" s="2" t="s">
        <v>811</v>
      </c>
      <c r="B2209" s="2" t="str">
        <f>HYPERLINK("https://abc17news.com/cnn-health/2024/08/05/a-diet-high-in-fruits-and-vegetables-may-reduce-your-heart-and-kidney-disease-risk-study/")</f>
        <v>https://abc17news.com/cnn-health/2024/08/05/a-diet-high-in-fruits-and-vegetables-may-reduce-your-heart-and-kidney-disease-risk-study/</v>
      </c>
      <c r="C2209" s="2" t="s">
        <v>2484</v>
      </c>
      <c r="D2209" s="3">
        <v>45510.008738425917</v>
      </c>
      <c r="E2209" s="2" t="s">
        <v>407</v>
      </c>
    </row>
    <row r="2210" spans="1:5" ht="84" x14ac:dyDescent="0.2">
      <c r="A2210" s="2" t="s">
        <v>811</v>
      </c>
      <c r="B2210" s="2" t="str">
        <f>HYPERLINK("https://ktvz.com/health/cnn-health/2024/08/05/a-diet-high-in-fruits-and-vegetables-may-reduce-your-heart-and-kidney-disease-risk-study/")</f>
        <v>https://ktvz.com/health/cnn-health/2024/08/05/a-diet-high-in-fruits-and-vegetables-may-reduce-your-heart-and-kidney-disease-risk-study/</v>
      </c>
      <c r="C2210" s="2" t="s">
        <v>2747</v>
      </c>
      <c r="D2210" s="3">
        <v>45510.008738425917</v>
      </c>
      <c r="E2210" s="2" t="s">
        <v>407</v>
      </c>
    </row>
    <row r="2211" spans="1:5" ht="84" x14ac:dyDescent="0.2">
      <c r="A2211" s="2" t="s">
        <v>811</v>
      </c>
      <c r="B2211" s="2" t="str">
        <f>HYPERLINK("https://keyt.com/health/cnn-health/2024/08/05/a-diet-high-in-fruits-and-vegetables-may-reduce-your-heart-and-kidney-disease-risk-study/")</f>
        <v>https://keyt.com/health/cnn-health/2024/08/05/a-diet-high-in-fruits-and-vegetables-may-reduce-your-heart-and-kidney-disease-risk-study/</v>
      </c>
      <c r="C2211" s="2" t="s">
        <v>2330</v>
      </c>
      <c r="D2211" s="3">
        <v>45510.009398148148</v>
      </c>
      <c r="E2211" s="2" t="s">
        <v>407</v>
      </c>
    </row>
    <row r="2212" spans="1:5" ht="84" x14ac:dyDescent="0.2">
      <c r="A2212" s="2" t="s">
        <v>1954</v>
      </c>
      <c r="B2212" s="2" t="str">
        <f>HYPERLINK("https://kion546.com/health/cnn-health/2024/08/05/a-diet-high-in-fruits-and-vegetables-may-reduce-your-heart-and-kidney-disease-risk-study/")</f>
        <v>https://kion546.com/health/cnn-health/2024/08/05/a-diet-high-in-fruits-and-vegetables-may-reduce-your-heart-and-kidney-disease-risk-study/</v>
      </c>
      <c r="C2212" s="2" t="s">
        <v>1955</v>
      </c>
      <c r="D2212" s="3">
        <v>45510.009432870371</v>
      </c>
      <c r="E2212" s="2" t="s">
        <v>407</v>
      </c>
    </row>
    <row r="2213" spans="1:5" ht="112" x14ac:dyDescent="0.2">
      <c r="A2213" s="2" t="s">
        <v>811</v>
      </c>
      <c r="B2213" s="2" t="str">
        <f>HYPERLINK("https://kvia.com/health/cnn-health/2024/08/05/a-diet-high-in-fruits-and-vegetables-may-reduce-your-heart-and-kidney-disease-risk-study/")</f>
        <v>https://kvia.com/health/cnn-health/2024/08/05/a-diet-high-in-fruits-and-vegetables-may-reduce-your-heart-and-kidney-disease-risk-study/</v>
      </c>
      <c r="C2213" s="2" t="s">
        <v>2358</v>
      </c>
      <c r="D2213" s="3">
        <v>45510.009479166663</v>
      </c>
      <c r="E2213" s="2" t="s">
        <v>714</v>
      </c>
    </row>
    <row r="2214" spans="1:5" ht="84" x14ac:dyDescent="0.2">
      <c r="A2214" s="2" t="s">
        <v>811</v>
      </c>
      <c r="B2214" s="2" t="str">
        <f>HYPERLINK("https://kesq.com/health/cnn-health/2024/08/05/a-diet-high-in-fruits-and-vegetables-may-reduce-your-heart-and-kidney-disease-risk-study/")</f>
        <v>https://kesq.com/health/cnn-health/2024/08/05/a-diet-high-in-fruits-and-vegetables-may-reduce-your-heart-and-kidney-disease-risk-study/</v>
      </c>
      <c r="C2214" s="2" t="s">
        <v>2448</v>
      </c>
      <c r="D2214" s="3">
        <v>45510.009687500002</v>
      </c>
      <c r="E2214" s="2" t="s">
        <v>1352</v>
      </c>
    </row>
    <row r="2215" spans="1:5" ht="112" x14ac:dyDescent="0.2">
      <c r="A2215" s="2" t="s">
        <v>811</v>
      </c>
      <c r="B2215" s="2" t="str">
        <f>HYPERLINK("https://www.koamnewsnow.com/news/health/a-diet-high-in-fruits-and-vegetables-may-reduce-your-heart-and-kidney-disease-risk/article_81ad0033-6ed3-57bb-a505-ea0dcf4819e2.html")</f>
        <v>https://www.koamnewsnow.com/news/health/a-diet-high-in-fruits-and-vegetables-may-reduce-your-heart-and-kidney-disease-risk/article_81ad0033-6ed3-57bb-a505-ea0dcf4819e2.html</v>
      </c>
      <c r="C2215" s="2" t="s">
        <v>2024</v>
      </c>
      <c r="D2215" s="3">
        <v>45510.011006944442</v>
      </c>
      <c r="E2215" s="2" t="s">
        <v>714</v>
      </c>
    </row>
    <row r="2216" spans="1:5" ht="112" x14ac:dyDescent="0.2">
      <c r="A2216" s="2" t="s">
        <v>713</v>
      </c>
      <c r="B2216" s="2" t="str">
        <f>HYPERLINK("https://metro.newschannelnebraska.com/story/51146685/a-diet-high-in-fruits-and-vegetables-may-reduce-your-heart-and-kidney-disease-risk-study-says")</f>
        <v>https://metro.newschannelnebraska.com/story/51146685/a-diet-high-in-fruits-and-vegetables-may-reduce-your-heart-and-kidney-disease-risk-study-says</v>
      </c>
      <c r="C2216" s="2" t="s">
        <v>996</v>
      </c>
      <c r="D2216" s="3">
        <v>45510.011111111111</v>
      </c>
      <c r="E2216" s="2" t="s">
        <v>714</v>
      </c>
    </row>
    <row r="2217" spans="1:5" ht="84" x14ac:dyDescent="0.2">
      <c r="A2217" s="2" t="s">
        <v>2224</v>
      </c>
      <c r="B2217" s="2" t="str">
        <f>HYPERLINK("https://localnews8.com/health/cnn-health/2024/08/05/a-diet-high-in-fruits-and-vegetables-may-reduce-your-heart-and-kidney-disease-risk-study/")</f>
        <v>https://localnews8.com/health/cnn-health/2024/08/05/a-diet-high-in-fruits-and-vegetables-may-reduce-your-heart-and-kidney-disease-risk-study/</v>
      </c>
      <c r="C2217" s="2" t="s">
        <v>2164</v>
      </c>
      <c r="D2217" s="3">
        <v>45510.012013888889</v>
      </c>
      <c r="E2217" s="2" t="s">
        <v>407</v>
      </c>
    </row>
    <row r="2218" spans="1:5" ht="112" x14ac:dyDescent="0.2">
      <c r="A2218" s="2" t="s">
        <v>811</v>
      </c>
      <c r="B2218" s="2" t="str">
        <f>HYPERLINK("https://www.albanyherald.com/features/health/a-diet-high-in-fruits-and-vegetables-may-reduce-your-heart-and-kidney-disease-risk/article_9ab7a3c6-e05d-5004-93bf-3dbd20717f03.html")</f>
        <v>https://www.albanyherald.com/features/health/a-diet-high-in-fruits-and-vegetables-may-reduce-your-heart-and-kidney-disease-risk/article_9ab7a3c6-e05d-5004-93bf-3dbd20717f03.html</v>
      </c>
      <c r="C2218" s="2" t="s">
        <v>1936</v>
      </c>
      <c r="D2218" s="3">
        <v>45510.01494212963</v>
      </c>
      <c r="E2218" s="2" t="s">
        <v>714</v>
      </c>
    </row>
    <row r="2219" spans="1:5" ht="112" x14ac:dyDescent="0.2">
      <c r="A2219" s="2" t="s">
        <v>811</v>
      </c>
      <c r="B2219" s="2" t="str">
        <f>HYPERLINK("https://www.crossroadstoday.com/news/health/a-diet-high-in-fruits-and-vegetables-may-reduce-your-heart-and-kidney-disease-risk/article_19293285-656e-5399-a106-a1aea15d4228.html")</f>
        <v>https://www.crossroadstoday.com/news/health/a-diet-high-in-fruits-and-vegetables-may-reduce-your-heart-and-kidney-disease-risk/article_19293285-656e-5399-a106-a1aea15d4228.html</v>
      </c>
      <c r="C2219" s="2" t="s">
        <v>1821</v>
      </c>
      <c r="D2219" s="3">
        <v>45510.018101851849</v>
      </c>
      <c r="E2219" s="2" t="s">
        <v>714</v>
      </c>
    </row>
    <row r="2220" spans="1:5" ht="112" x14ac:dyDescent="0.2">
      <c r="A2220" s="2" t="s">
        <v>811</v>
      </c>
      <c r="B2220" s="2" t="str">
        <f>HYPERLINK("https://www.wevv.com/news/health/a-diet-high-in-fruits-and-vegetables-may-reduce-your-heart-and-kidney-disease-risk/article_57e53015-c445-5746-bbd7-ca37723d3752.html")</f>
        <v>https://www.wevv.com/news/health/a-diet-high-in-fruits-and-vegetables-may-reduce-your-heart-and-kidney-disease-risk/article_57e53015-c445-5746-bbd7-ca37723d3752.html</v>
      </c>
      <c r="C2220" s="2" t="s">
        <v>1926</v>
      </c>
      <c r="D2220" s="3">
        <v>45510.02070601852</v>
      </c>
      <c r="E2220" s="2" t="s">
        <v>714</v>
      </c>
    </row>
    <row r="2221" spans="1:5" ht="112" x14ac:dyDescent="0.2">
      <c r="A2221" s="2" t="s">
        <v>811</v>
      </c>
      <c r="B2221" s="2" t="str">
        <f>HYPERLINK("https://www.wsiltv.com/news/health/a-diet-high-in-fruits-and-vegetables-may-reduce-your-heart-and-kidney-disease-risk/article_89831c93-3234-5a19-923a-52f17b2232d7.html")</f>
        <v>https://www.wsiltv.com/news/health/a-diet-high-in-fruits-and-vegetables-may-reduce-your-heart-and-kidney-disease-risk/article_89831c93-3234-5a19-923a-52f17b2232d7.html</v>
      </c>
      <c r="C2221" s="2" t="s">
        <v>2232</v>
      </c>
      <c r="D2221" s="3">
        <v>45510.020995370367</v>
      </c>
      <c r="E2221" s="2" t="s">
        <v>714</v>
      </c>
    </row>
    <row r="2222" spans="1:5" ht="84" x14ac:dyDescent="0.2">
      <c r="A2222" s="2" t="s">
        <v>811</v>
      </c>
      <c r="B2222" s="2" t="str">
        <f>HYPERLINK("https://krdo.com/news/2024/08/05/a-diet-high-in-fruits-and-vegetables-may-reduce-your-heart-and-kidney-disease-risk-study/")</f>
        <v>https://krdo.com/news/2024/08/05/a-diet-high-in-fruits-and-vegetables-may-reduce-your-heart-and-kidney-disease-risk-study/</v>
      </c>
      <c r="C2222" s="2" t="s">
        <v>2558</v>
      </c>
      <c r="D2222" s="3">
        <v>45510.021574074082</v>
      </c>
      <c r="E2222" s="2" t="s">
        <v>407</v>
      </c>
    </row>
    <row r="2223" spans="1:5" ht="84" x14ac:dyDescent="0.2">
      <c r="A2223" s="2" t="s">
        <v>811</v>
      </c>
      <c r="B2223" s="2" t="str">
        <f>HYPERLINK("https://health-reporter.news/a-diet-high-in-fruits-and-vegetables-may-reduce-your-heart-and-kidney-disease-risk-study/")</f>
        <v>https://health-reporter.news/a-diet-high-in-fruits-and-vegetables-may-reduce-your-heart-and-kidney-disease-risk-study/</v>
      </c>
      <c r="C2223" s="2" t="s">
        <v>222</v>
      </c>
      <c r="D2223" s="3">
        <v>45510.042256944442</v>
      </c>
      <c r="E2223" s="2" t="s">
        <v>812</v>
      </c>
    </row>
    <row r="2224" spans="1:5" ht="112" x14ac:dyDescent="0.2">
      <c r="A2224" s="2" t="s">
        <v>811</v>
      </c>
      <c r="B2224" s="2" t="str">
        <f>HYPERLINK("https://www.wxow.com/news/health/a-diet-high-in-fruits-and-vegetables-may-reduce-your-heart-and-kidney-disease-risk/article_8a022867-f5f8-51ee-8eae-1cc8127e2aaf.html")</f>
        <v>https://www.wxow.com/news/health/a-diet-high-in-fruits-and-vegetables-may-reduce-your-heart-and-kidney-disease-risk/article_8a022867-f5f8-51ee-8eae-1cc8127e2aaf.html</v>
      </c>
      <c r="C2224" s="2" t="s">
        <v>2107</v>
      </c>
      <c r="D2224" s="3">
        <v>45510.043206018519</v>
      </c>
      <c r="E2224" s="2" t="s">
        <v>714</v>
      </c>
    </row>
    <row r="2225" spans="1:5" ht="84" x14ac:dyDescent="0.2">
      <c r="A2225" s="2" t="s">
        <v>3406</v>
      </c>
      <c r="B2225" s="2" t="str">
        <f>HYPERLINK("https://noticias.r7.com/saude/adocantes-artificiais-sao-mais-seguros-que-o-acucar-cientistas-tentam-responder-06082024/")</f>
        <v>https://noticias.r7.com/saude/adocantes-artificiais-sao-mais-seguros-que-o-acucar-cientistas-tentam-responder-06082024/</v>
      </c>
      <c r="C2225" s="2" t="s">
        <v>3407</v>
      </c>
      <c r="D2225" s="3">
        <v>45510.059155092589</v>
      </c>
      <c r="E2225" s="2" t="s">
        <v>3408</v>
      </c>
    </row>
    <row r="2226" spans="1:5" ht="112" x14ac:dyDescent="0.2">
      <c r="A2226" s="2" t="s">
        <v>582</v>
      </c>
      <c r="B2226" s="2" t="str">
        <f>HYPERLINK("https://www.notiulti.com/una-dieta-rica-en-frutas-y-verduras-puede-reducir-el-riesgo-de-enfermedades-cardiacas-y-renales-segun-estudio/")</f>
        <v>https://www.notiulti.com/una-dieta-rica-en-frutas-y-verduras-puede-reducir-el-riesgo-de-enfermedades-cardiacas-y-renales-segun-estudio/</v>
      </c>
      <c r="C2226" s="2" t="s">
        <v>583</v>
      </c>
      <c r="D2226" s="3">
        <v>45510.079085648147</v>
      </c>
      <c r="E2226" s="2" t="s">
        <v>584</v>
      </c>
    </row>
    <row r="2227" spans="1:5" ht="112" x14ac:dyDescent="0.2">
      <c r="A2227" s="2" t="s">
        <v>410</v>
      </c>
      <c r="B2227" s="2" t="str">
        <f>HYPERLINK("https://pressnewsagency.org/a-diet-high-in-fruits-and-vegetables-may-reduce-your-heart-and-kidney-disease-risk-study-cnn/")</f>
        <v>https://pressnewsagency.org/a-diet-high-in-fruits-and-vegetables-may-reduce-your-heart-and-kidney-disease-risk-study-cnn/</v>
      </c>
      <c r="C2227" s="2" t="s">
        <v>394</v>
      </c>
      <c r="D2227" s="3">
        <v>45510.080462962957</v>
      </c>
      <c r="E2227" s="2" t="s">
        <v>411</v>
      </c>
    </row>
    <row r="2228" spans="1:5" ht="112" x14ac:dyDescent="0.2">
      <c r="A2228" s="2" t="s">
        <v>180</v>
      </c>
      <c r="B2228" s="2" t="str">
        <f>HYPERLINK("https://newsnetdaily.com/diet-rich-in-fruits-and-vegetables-may-reduce-risk-of-heart-and-kidney-disease-study-finds/")</f>
        <v>https://newsnetdaily.com/diet-rich-in-fruits-and-vegetables-may-reduce-risk-of-heart-and-kidney-disease-study-finds/</v>
      </c>
      <c r="C2228" s="2" t="s">
        <v>6</v>
      </c>
      <c r="D2228" s="3">
        <v>45510.08048611111</v>
      </c>
      <c r="E2228" s="2" t="s">
        <v>181</v>
      </c>
    </row>
    <row r="2229" spans="1:5" ht="70" x14ac:dyDescent="0.2">
      <c r="A2229" s="2" t="s">
        <v>3312</v>
      </c>
      <c r="B2229" s="2" t="str">
        <f>HYPERLINK("https://mediaindonesia.com/humaniora/690753/konsumsi-buah-dan-sayuran-dapat-kurangi-risiko-penyakit-jantung-dan-ginjal-pada-penderita-tekanan-darah-tinggi")</f>
        <v>https://mediaindonesia.com/humaniora/690753/konsumsi-buah-dan-sayuran-dapat-kurangi-risiko-penyakit-jantung-dan-ginjal-pada-penderita-tekanan-darah-tinggi</v>
      </c>
      <c r="C2229" s="2" t="s">
        <v>3313</v>
      </c>
      <c r="D2229" s="3">
        <v>45510.181250000001</v>
      </c>
      <c r="E2229" s="2" t="s">
        <v>3314</v>
      </c>
    </row>
    <row r="2230" spans="1:5" ht="112" x14ac:dyDescent="0.2">
      <c r="A2230" s="2" t="s">
        <v>811</v>
      </c>
      <c r="B2230" s="2" t="str">
        <f>HYPERLINK("https://www.wishtv.com/focus-on-food/focus-on-food-stories/a-diet-high-in-fruits-and-vegetables-may-reduce-your-heart-and-kidney-disease-risk-study/")</f>
        <v>https://www.wishtv.com/focus-on-food/focus-on-food-stories/a-diet-high-in-fruits-and-vegetables-may-reduce-your-heart-and-kidney-disease-risk-study/</v>
      </c>
      <c r="C2230" s="2" t="s">
        <v>2768</v>
      </c>
      <c r="D2230" s="3">
        <v>45510.309814814813</v>
      </c>
      <c r="E2230" s="2" t="s">
        <v>714</v>
      </c>
    </row>
    <row r="2231" spans="1:5" ht="112" x14ac:dyDescent="0.2">
      <c r="A2231" s="2" t="s">
        <v>811</v>
      </c>
      <c r="B2231" s="2" t="str">
        <f>HYPERLINK("https://wsvn.com/news/us-world/a-diet-high-in-fruits-and-vegetables-may-reduce-your-heart-and-kidney-disease-risk-study/")</f>
        <v>https://wsvn.com/news/us-world/a-diet-high-in-fruits-and-vegetables-may-reduce-your-heart-and-kidney-disease-risk-study/</v>
      </c>
      <c r="C2231" s="2" t="s">
        <v>2843</v>
      </c>
      <c r="D2231" s="3">
        <v>45510.392476851863</v>
      </c>
      <c r="E2231" s="2" t="s">
        <v>714</v>
      </c>
    </row>
    <row r="2232" spans="1:5" ht="84" x14ac:dyDescent="0.2">
      <c r="A2232" s="2" t="s">
        <v>4000</v>
      </c>
      <c r="B2232" s="2" t="str">
        <f>HYPERLINK("https://infonewss.com/adocantes-artificiais-sao-mais-seguros-que-o-acucar-entenda/")</f>
        <v>https://infonewss.com/adocantes-artificiais-sao-mais-seguros-que-o-acucar-entenda/</v>
      </c>
      <c r="C2232" s="2" t="s">
        <v>4001</v>
      </c>
      <c r="D2232" s="3">
        <v>45510.405752314808</v>
      </c>
      <c r="E2232" s="2" t="s">
        <v>3408</v>
      </c>
    </row>
    <row r="2233" spans="1:5" ht="84" x14ac:dyDescent="0.2">
      <c r="A2233" s="2" t="s">
        <v>811</v>
      </c>
      <c r="B2233" s="2" t="str">
        <f>HYPERLINK("http://stylemagazine.com/news/2024/aug/06/a-diet-high-in-fruits-and-vegetables-may-reduce-your-heart-and-kidney-disease-risk-study/")</f>
        <v>http://stylemagazine.com/news/2024/aug/06/a-diet-high-in-fruits-and-vegetables-may-reduce-your-heart-and-kidney-disease-risk-study/</v>
      </c>
      <c r="C2233" s="2" t="s">
        <v>1154</v>
      </c>
      <c r="D2233" s="3">
        <v>45510.411805555559</v>
      </c>
      <c r="E2233" s="2" t="s">
        <v>407</v>
      </c>
    </row>
    <row r="2234" spans="1:5" ht="112" x14ac:dyDescent="0.2">
      <c r="A2234" s="2" t="s">
        <v>811</v>
      </c>
      <c r="B2234" s="2" t="str">
        <f>HYPERLINK("https://www.applevalleynewsnow.com/news/health/a-diet-high-in-fruits-and-vegetables-may-reduce-your-heart-and-kidney-disease-risk/article_c7fef690-84c7-5d7d-b859-09a14c19f1ba.html")</f>
        <v>https://www.applevalleynewsnow.com/news/health/a-diet-high-in-fruits-and-vegetables-may-reduce-your-heart-and-kidney-disease-risk/article_c7fef690-84c7-5d7d-b859-09a14c19f1ba.html</v>
      </c>
      <c r="C2234" s="2" t="s">
        <v>1690</v>
      </c>
      <c r="D2234" s="3">
        <v>45510.472210648149</v>
      </c>
      <c r="E2234" s="2" t="s">
        <v>714</v>
      </c>
    </row>
    <row r="2235" spans="1:5" ht="112" x14ac:dyDescent="0.2">
      <c r="A2235" s="2" t="s">
        <v>811</v>
      </c>
      <c r="B2235" s="2" t="str">
        <f>HYPERLINK("https://www.kwwl.com/news/national/a-diet-high-in-fruits-and-vegetables-may-reduce-your-heart-and-kidney-disease-risk/article_d94f8927-1f30-5abb-9898-cca19c407723.html")</f>
        <v>https://www.kwwl.com/news/national/a-diet-high-in-fruits-and-vegetables-may-reduce-your-heart-and-kidney-disease-risk/article_d94f8927-1f30-5abb-9898-cca19c407723.html</v>
      </c>
      <c r="C2235" s="2" t="s">
        <v>2350</v>
      </c>
      <c r="D2235" s="3">
        <v>45510.503506944442</v>
      </c>
      <c r="E2235" s="2" t="s">
        <v>2531</v>
      </c>
    </row>
    <row r="2236" spans="1:5" ht="140" x14ac:dyDescent="0.2">
      <c r="A2236" s="2" t="s">
        <v>811</v>
      </c>
      <c r="B2236" s="2" t="str">
        <f>HYPERLINK("https://www.ctvnews.ca/health/a-diet-high-in-fruits-and-vegetables-may-reduce-your-heart-and-kidney-disease-risk-study-1.6990354")</f>
        <v>https://www.ctvnews.ca/health/a-diet-high-in-fruits-and-vegetables-may-reduce-your-heart-and-kidney-disease-risk-study-1.6990354</v>
      </c>
      <c r="C2236" s="2" t="s">
        <v>3442</v>
      </c>
      <c r="D2236" s="3">
        <v>45510.525509259263</v>
      </c>
      <c r="E2236" s="2" t="s">
        <v>3444</v>
      </c>
    </row>
    <row r="2237" spans="1:5" ht="112" x14ac:dyDescent="0.2">
      <c r="A2237" s="2" t="s">
        <v>811</v>
      </c>
      <c r="B2237" s="2" t="str">
        <f>HYPERLINK("https://www.waaytv.com/news/a-diet-high-in-fruits-and-vegetables-may-reduce-your-heart-and-kidney-disease-risk/article_15b71727-de67-5010-8a34-838c16b7dd69.html")</f>
        <v>https://www.waaytv.com/news/a-diet-high-in-fruits-and-vegetables-may-reduce-your-heart-and-kidney-disease-risk/article_15b71727-de67-5010-8a34-838c16b7dd69.html</v>
      </c>
      <c r="C2237" s="2" t="s">
        <v>2278</v>
      </c>
      <c r="D2237" s="3">
        <v>45510.561354166668</v>
      </c>
      <c r="E2237" s="2" t="s">
        <v>714</v>
      </c>
    </row>
    <row r="2238" spans="1:5" ht="84" x14ac:dyDescent="0.2">
      <c r="A2238" s="2" t="s">
        <v>3626</v>
      </c>
      <c r="B2238" s="2" t="str">
        <f>HYPERLINK("https://portalnine.com.br/veja-quais-alimentos-podem-reduzir-risco-de-doencas-cardiacas-e-renais/")</f>
        <v>https://portalnine.com.br/veja-quais-alimentos-podem-reduzir-risco-de-doencas-cardiacas-e-renais/</v>
      </c>
      <c r="C2238" s="2" t="s">
        <v>4085</v>
      </c>
      <c r="D2238" s="3">
        <v>45510.581192129634</v>
      </c>
      <c r="E2238" s="2" t="s">
        <v>3628</v>
      </c>
    </row>
    <row r="2239" spans="1:5" ht="84" x14ac:dyDescent="0.2">
      <c r="A2239" s="2" t="s">
        <v>3626</v>
      </c>
      <c r="B2239" s="2" t="str">
        <f>HYPERLINK("https://www.cnnbrasil.com.br/saude/veja-quais-alimentos-podem-reduzir-risco-de-doencas-cardiacas-e-renais/")</f>
        <v>https://www.cnnbrasil.com.br/saude/veja-quais-alimentos-podem-reduzir-risco-de-doencas-cardiacas-e-renais/</v>
      </c>
      <c r="C2239" s="2" t="s">
        <v>3627</v>
      </c>
      <c r="D2239" s="3">
        <v>45510.584537037037</v>
      </c>
      <c r="E2239" s="2" t="s">
        <v>3628</v>
      </c>
    </row>
    <row r="2240" spans="1:5" ht="84" x14ac:dyDescent="0.2">
      <c r="A2240" s="2" t="s">
        <v>713</v>
      </c>
      <c r="B2240" s="2" t="str">
        <f>HYPERLINK("https://krdo.com/news/2024/08/06/a-diet-high-in-fruits-and-vegetables-may-reduce-your-heart-and-kidney-disease-risk-study/")</f>
        <v>https://krdo.com/news/2024/08/06/a-diet-high-in-fruits-and-vegetables-may-reduce-your-heart-and-kidney-disease-risk-study/</v>
      </c>
      <c r="C2240" s="2" t="s">
        <v>2558</v>
      </c>
      <c r="D2240" s="3">
        <v>45510.586400462962</v>
      </c>
      <c r="E2240" s="2" t="s">
        <v>407</v>
      </c>
    </row>
    <row r="2241" spans="1:5" ht="84" x14ac:dyDescent="0.2">
      <c r="A2241" s="2" t="s">
        <v>3626</v>
      </c>
      <c r="B2241" s="2" t="str">
        <f>HYPERLINK("https://grupoportaldenoticias.com.br/veja-quais-alimentos-podem-reduzir-risco-de-doencas-cardiacas-e-renais/")</f>
        <v>https://grupoportaldenoticias.com.br/veja-quais-alimentos-podem-reduzir-risco-de-doencas-cardiacas-e-renais/</v>
      </c>
      <c r="C2241" s="2" t="s">
        <v>3759</v>
      </c>
      <c r="D2241" s="3">
        <v>45510.62296296296</v>
      </c>
      <c r="E2241" s="2" t="s">
        <v>3628</v>
      </c>
    </row>
    <row r="2242" spans="1:5" ht="56" x14ac:dyDescent="0.2">
      <c r="A2242" s="2" t="s">
        <v>4059</v>
      </c>
      <c r="B2242" s="2" t="str">
        <f>HYPERLINK("https://jornaldestaque.com/descubra-os-alimentos-que-podem-proteger-contra-doencas-cardiacas-renais/")</f>
        <v>https://jornaldestaque.com/descubra-os-alimentos-que-podem-proteger-contra-doencas-cardiacas-renais/</v>
      </c>
      <c r="C2242" s="2" t="s">
        <v>4060</v>
      </c>
      <c r="D2242" s="3">
        <v>45510.695462962962</v>
      </c>
      <c r="E2242" s="2" t="s">
        <v>4061</v>
      </c>
    </row>
    <row r="2243" spans="1:5" ht="112" x14ac:dyDescent="0.2">
      <c r="A2243" s="2" t="s">
        <v>811</v>
      </c>
      <c r="B2243" s="2" t="str">
        <f>HYPERLINK("https://news.lee.net/partners/cnn/a-diet-high-in-fruits-and-vegetables-may-reduce-your-heart-and-kidney-disease-risk/article_3713778e-f164-553b-9485-8aa25eeff3a8.html")</f>
        <v>https://news.lee.net/partners/cnn/a-diet-high-in-fruits-and-vegetables-may-reduce-your-heart-and-kidney-disease-risk/article_3713778e-f164-553b-9485-8aa25eeff3a8.html</v>
      </c>
      <c r="C2243" s="2" t="s">
        <v>1651</v>
      </c>
      <c r="D2243" s="3">
        <v>45510.833807870367</v>
      </c>
      <c r="E2243" s="2" t="s">
        <v>714</v>
      </c>
    </row>
    <row r="2244" spans="1:5" ht="84" x14ac:dyDescent="0.2">
      <c r="A2244" s="2" t="s">
        <v>713</v>
      </c>
      <c r="B2244" s="2" t="str">
        <f>HYPERLINK("https://www.abc-7.com/article/diet-high-in-fruits-and-vegetables-may-reduce-your-heart-kidney-disease-risk/61805713")</f>
        <v>https://www.abc-7.com/article/diet-high-in-fruits-and-vegetables-may-reduce-your-heart-kidney-disease-risk/61805713</v>
      </c>
      <c r="C2244" s="2" t="s">
        <v>1874</v>
      </c>
      <c r="D2244" s="3">
        <v>45510.868750000001</v>
      </c>
      <c r="E2244" s="2" t="s">
        <v>1352</v>
      </c>
    </row>
    <row r="2245" spans="1:5" ht="84" x14ac:dyDescent="0.2">
      <c r="A2245" s="2" t="s">
        <v>713</v>
      </c>
      <c r="B2245" s="2" t="str">
        <f>HYPERLINK("https://www.kmbc.com/article/diet-high-in-fruits-and-vegetables-may-reduce-your-heart-kidney-disease-risk/61805713")</f>
        <v>https://www.kmbc.com/article/diet-high-in-fruits-and-vegetables-may-reduce-your-heart-kidney-disease-risk/61805713</v>
      </c>
      <c r="C2245" s="2" t="s">
        <v>2831</v>
      </c>
      <c r="D2245" s="3">
        <v>45510.868750000001</v>
      </c>
      <c r="E2245" s="2" t="s">
        <v>1352</v>
      </c>
    </row>
    <row r="2246" spans="1:5" ht="84" x14ac:dyDescent="0.2">
      <c r="A2246" s="2" t="s">
        <v>713</v>
      </c>
      <c r="B2246" s="2" t="str">
        <f>HYPERLINK("https://www.kcci.com/article/diet-high-in-fruits-and-vegetables-may-reduce-your-heart-kidney-disease-risk/61805713")</f>
        <v>https://www.kcci.com/article/diet-high-in-fruits-and-vegetables-may-reduce-your-heart-kidney-disease-risk/61805713</v>
      </c>
      <c r="C2246" s="2" t="s">
        <v>2926</v>
      </c>
      <c r="D2246" s="3">
        <v>45510.871712962973</v>
      </c>
      <c r="E2246" s="2" t="s">
        <v>1352</v>
      </c>
    </row>
    <row r="2247" spans="1:5" ht="84" x14ac:dyDescent="0.2">
      <c r="A2247" s="2" t="s">
        <v>713</v>
      </c>
      <c r="B2247" s="2" t="str">
        <f>HYPERLINK("https://www.wyff4.com/article/diet-high-in-fruits-and-vegetables-may-reduce-your-heart-kidney-disease-risk/61805713")</f>
        <v>https://www.wyff4.com/article/diet-high-in-fruits-and-vegetables-may-reduce-your-heart-kidney-disease-risk/61805713</v>
      </c>
      <c r="C2247" s="2" t="s">
        <v>2966</v>
      </c>
      <c r="D2247" s="3">
        <v>45510.872175925928</v>
      </c>
      <c r="E2247" s="2" t="s">
        <v>1352</v>
      </c>
    </row>
    <row r="2248" spans="1:5" ht="84" x14ac:dyDescent="0.2">
      <c r="A2248" s="2" t="s">
        <v>713</v>
      </c>
      <c r="B2248" s="2" t="str">
        <f>HYPERLINK("https://www.mor-tv.com/article/diet-high-in-fruits-and-vegetables-may-reduce-your-heart-kidney-disease-risk/61805713")</f>
        <v>https://www.mor-tv.com/article/diet-high-in-fruits-and-vegetables-may-reduce-your-heart-kidney-disease-risk/61805713</v>
      </c>
      <c r="C2248" s="2" t="s">
        <v>1351</v>
      </c>
      <c r="D2248" s="3">
        <v>45510.87263888889</v>
      </c>
      <c r="E2248" s="2" t="s">
        <v>1352</v>
      </c>
    </row>
    <row r="2249" spans="1:5" ht="84" x14ac:dyDescent="0.2">
      <c r="A2249" s="2" t="s">
        <v>713</v>
      </c>
      <c r="B2249" s="2" t="str">
        <f>HYPERLINK("https://www.wgal.com/article/diet-high-in-fruits-and-vegetables-may-reduce-your-heart-kidney-disease-risk/61805713")</f>
        <v>https://www.wgal.com/article/diet-high-in-fruits-and-vegetables-may-reduce-your-heart-kidney-disease-risk/61805713</v>
      </c>
      <c r="C2249" s="2" t="s">
        <v>2911</v>
      </c>
      <c r="D2249" s="3">
        <v>45510.872673611113</v>
      </c>
      <c r="E2249" s="2" t="s">
        <v>1352</v>
      </c>
    </row>
    <row r="2250" spans="1:5" ht="84" x14ac:dyDescent="0.2">
      <c r="A2250" s="2" t="s">
        <v>713</v>
      </c>
      <c r="B2250" s="2" t="str">
        <f>HYPERLINK("https://www.wvtm13.com/article/diet-high-in-fruits-and-vegetables-may-reduce-your-heart-kidney-disease-risk/61805713")</f>
        <v>https://www.wvtm13.com/article/diet-high-in-fruits-and-vegetables-may-reduce-your-heart-kidney-disease-risk/61805713</v>
      </c>
      <c r="C2250" s="2" t="s">
        <v>2700</v>
      </c>
      <c r="D2250" s="3">
        <v>45510.872696759259</v>
      </c>
      <c r="E2250" s="2" t="s">
        <v>1352</v>
      </c>
    </row>
    <row r="2251" spans="1:5" ht="84" x14ac:dyDescent="0.2">
      <c r="A2251" s="2" t="s">
        <v>713</v>
      </c>
      <c r="B2251" s="2" t="str">
        <f>HYPERLINK("https://www.wmtw.com/article/diet-high-in-fruits-and-vegetables-may-reduce-your-heart-kidney-disease-risk/61805713")</f>
        <v>https://www.wmtw.com/article/diet-high-in-fruits-and-vegetables-may-reduce-your-heart-kidney-disease-risk/61805713</v>
      </c>
      <c r="C2251" s="2" t="s">
        <v>2720</v>
      </c>
      <c r="D2251" s="3">
        <v>45510.872743055559</v>
      </c>
      <c r="E2251" s="2" t="s">
        <v>1352</v>
      </c>
    </row>
    <row r="2252" spans="1:5" ht="84" x14ac:dyDescent="0.2">
      <c r="A2252" s="2" t="s">
        <v>713</v>
      </c>
      <c r="B2252" s="2" t="str">
        <f>HYPERLINK("https://www.ketv.com/article/diet-high-in-fruits-and-vegetables-may-reduce-your-heart-kidney-disease-risk/61805713")</f>
        <v>https://www.ketv.com/article/diet-high-in-fruits-and-vegetables-may-reduce-your-heart-kidney-disease-risk/61805713</v>
      </c>
      <c r="C2252" s="2" t="s">
        <v>2830</v>
      </c>
      <c r="D2252" s="3">
        <v>45510.872858796298</v>
      </c>
      <c r="E2252" s="2" t="s">
        <v>1352</v>
      </c>
    </row>
    <row r="2253" spans="1:5" ht="84" x14ac:dyDescent="0.2">
      <c r="A2253" s="2" t="s">
        <v>713</v>
      </c>
      <c r="B2253" s="2" t="str">
        <f>HYPERLINK("https://www.wmur.com/article/diet-high-in-fruits-and-vegetables-may-reduce-your-heart-kidney-disease-risk/61805713")</f>
        <v>https://www.wmur.com/article/diet-high-in-fruits-and-vegetables-may-reduce-your-heart-kidney-disease-risk/61805713</v>
      </c>
      <c r="C2253" s="2" t="s">
        <v>2907</v>
      </c>
      <c r="D2253" s="3">
        <v>45510.872870370367</v>
      </c>
      <c r="E2253" s="2" t="s">
        <v>1352</v>
      </c>
    </row>
    <row r="2254" spans="1:5" ht="84" x14ac:dyDescent="0.2">
      <c r="A2254" s="2" t="s">
        <v>713</v>
      </c>
      <c r="B2254" s="2" t="str">
        <f>HYPERLINK("https://www.wapt.com/article/diet-high-in-fruits-and-vegetables-may-reduce-your-heart-kidney-disease-risk/61805713")</f>
        <v>https://www.wapt.com/article/diet-high-in-fruits-and-vegetables-may-reduce-your-heart-kidney-disease-risk/61805713</v>
      </c>
      <c r="C2254" s="2" t="s">
        <v>2418</v>
      </c>
      <c r="D2254" s="3">
        <v>45510.872974537036</v>
      </c>
      <c r="E2254" s="2" t="s">
        <v>1352</v>
      </c>
    </row>
    <row r="2255" spans="1:5" ht="84" x14ac:dyDescent="0.2">
      <c r="A2255" s="2" t="s">
        <v>713</v>
      </c>
      <c r="B2255" s="2" t="str">
        <f>HYPERLINK("https://www.4029tv.com/article/diet-high-in-fruits-and-vegetables-may-reduce-your-heart-kidney-disease-risk/61805713")</f>
        <v>https://www.4029tv.com/article/diet-high-in-fruits-and-vegetables-may-reduce-your-heart-kidney-disease-risk/61805713</v>
      </c>
      <c r="C2255" s="2" t="s">
        <v>2347</v>
      </c>
      <c r="D2255" s="3">
        <v>45510.873240740737</v>
      </c>
      <c r="E2255" s="2" t="s">
        <v>1352</v>
      </c>
    </row>
    <row r="2256" spans="1:5" ht="84" x14ac:dyDescent="0.2">
      <c r="A2256" s="2" t="s">
        <v>713</v>
      </c>
      <c r="B2256" s="2" t="str">
        <f>HYPERLINK("https://www.wesh.com/article/diet-high-in-fruits-and-vegetables-may-reduce-your-heart-kidney-disease-risk/61805713")</f>
        <v>https://www.wesh.com/article/diet-high-in-fruits-and-vegetables-may-reduce-your-heart-kidney-disease-risk/61805713</v>
      </c>
      <c r="C2256" s="2" t="s">
        <v>3144</v>
      </c>
      <c r="D2256" s="3">
        <v>45510.873715277783</v>
      </c>
      <c r="E2256" s="2" t="s">
        <v>1352</v>
      </c>
    </row>
    <row r="2257" spans="1:5" ht="84" x14ac:dyDescent="0.2">
      <c r="A2257" s="2" t="s">
        <v>713</v>
      </c>
      <c r="B2257" s="2" t="str">
        <f>HYPERLINK("https://www.mynbc5.com/article/diet-high-in-fruits-and-vegetables-may-reduce-your-heart-kidney-disease-risk/61805713")</f>
        <v>https://www.mynbc5.com/article/diet-high-in-fruits-and-vegetables-may-reduce-your-heart-kidney-disease-risk/61805713</v>
      </c>
      <c r="C2257" s="2" t="s">
        <v>2723</v>
      </c>
      <c r="D2257" s="3">
        <v>45510.873761574083</v>
      </c>
      <c r="E2257" s="2" t="s">
        <v>1352</v>
      </c>
    </row>
    <row r="2258" spans="1:5" ht="84" x14ac:dyDescent="0.2">
      <c r="A2258" s="2" t="s">
        <v>713</v>
      </c>
      <c r="B2258" s="2" t="str">
        <f>HYPERLINK("https://www.wcvb.com/article/diet-high-in-fruits-and-vegetables-may-reduce-your-heart-kidney-disease-risk/61805713")</f>
        <v>https://www.wcvb.com/article/diet-high-in-fruits-and-vegetables-may-reduce-your-heart-kidney-disease-risk/61805713</v>
      </c>
      <c r="C2258" s="2" t="s">
        <v>3146</v>
      </c>
      <c r="D2258" s="3">
        <v>45510.873877314807</v>
      </c>
      <c r="E2258" s="2" t="s">
        <v>1352</v>
      </c>
    </row>
    <row r="2259" spans="1:5" ht="84" x14ac:dyDescent="0.2">
      <c r="A2259" s="2" t="s">
        <v>713</v>
      </c>
      <c r="B2259" s="2" t="str">
        <f>HYPERLINK("https://www.wbaltv.com/article/diet-high-in-fruits-and-vegetables-may-reduce-your-heart-kidney-disease-risk/61805713")</f>
        <v>https://www.wbaltv.com/article/diet-high-in-fruits-and-vegetables-may-reduce-your-heart-kidney-disease-risk/61805713</v>
      </c>
      <c r="C2259" s="2" t="s">
        <v>2931</v>
      </c>
      <c r="D2259" s="3">
        <v>45510.873888888891</v>
      </c>
      <c r="E2259" s="2" t="s">
        <v>1352</v>
      </c>
    </row>
    <row r="2260" spans="1:5" ht="84" x14ac:dyDescent="0.2">
      <c r="A2260" s="2" t="s">
        <v>713</v>
      </c>
      <c r="B2260" s="2" t="str">
        <f>HYPERLINK("https://www.ksbw.com/article/diet-high-in-fruits-and-vegetables-may-reduce-your-heart-kidney-disease-risk/61805713")</f>
        <v>https://www.ksbw.com/article/diet-high-in-fruits-and-vegetables-may-reduce-your-heart-kidney-disease-risk/61805713</v>
      </c>
      <c r="C2260" s="2" t="s">
        <v>2673</v>
      </c>
      <c r="D2260" s="3">
        <v>45510.874074074083</v>
      </c>
      <c r="E2260" s="2" t="s">
        <v>1352</v>
      </c>
    </row>
    <row r="2261" spans="1:5" ht="84" x14ac:dyDescent="0.2">
      <c r="A2261" s="2" t="s">
        <v>713</v>
      </c>
      <c r="B2261" s="2" t="str">
        <f>HYPERLINK("https://www.wisn.com/article/diet-high-in-fruits-and-vegetables-may-reduce-your-heart-kidney-disease-risk/61805713")</f>
        <v>https://www.wisn.com/article/diet-high-in-fruits-and-vegetables-may-reduce-your-heart-kidney-disease-risk/61805713</v>
      </c>
      <c r="C2261" s="2" t="s">
        <v>2899</v>
      </c>
      <c r="D2261" s="3">
        <v>45510.874155092592</v>
      </c>
      <c r="E2261" s="2" t="s">
        <v>1352</v>
      </c>
    </row>
    <row r="2262" spans="1:5" ht="84" x14ac:dyDescent="0.2">
      <c r="A2262" s="2" t="s">
        <v>713</v>
      </c>
      <c r="B2262" s="2" t="str">
        <f>HYPERLINK("https://www.wpbf.com/article/diet-high-in-fruits-and-vegetables-may-reduce-your-heart-kidney-disease-risk/61805713")</f>
        <v>https://www.wpbf.com/article/diet-high-in-fruits-and-vegetables-may-reduce-your-heart-kidney-disease-risk/61805713</v>
      </c>
      <c r="C2262" s="2" t="s">
        <v>2665</v>
      </c>
      <c r="D2262" s="3">
        <v>45510.874409722222</v>
      </c>
      <c r="E2262" s="2" t="s">
        <v>1352</v>
      </c>
    </row>
    <row r="2263" spans="1:5" ht="84" x14ac:dyDescent="0.2">
      <c r="A2263" s="2" t="s">
        <v>713</v>
      </c>
      <c r="B2263" s="2" t="str">
        <f>HYPERLINK("https://www.wjcl.com/article/diet-high-in-fruits-and-vegetables-may-reduce-your-heart-kidney-disease-risk/61805713")</f>
        <v>https://www.wjcl.com/article/diet-high-in-fruits-and-vegetables-may-reduce-your-heart-kidney-disease-risk/61805713</v>
      </c>
      <c r="C2263" s="2" t="s">
        <v>2732</v>
      </c>
      <c r="D2263" s="3">
        <v>45510.874560185177</v>
      </c>
      <c r="E2263" s="2" t="s">
        <v>1352</v>
      </c>
    </row>
    <row r="2264" spans="1:5" ht="84" x14ac:dyDescent="0.2">
      <c r="A2264" s="2" t="s">
        <v>713</v>
      </c>
      <c r="B2264" s="2" t="str">
        <f>HYPERLINK("https://www.wtae.com/article/diet-high-in-fruits-and-vegetables-may-reduce-your-heart-kidney-disease-risk/61805713")</f>
        <v>https://www.wtae.com/article/diet-high-in-fruits-and-vegetables-may-reduce-your-heart-kidney-disease-risk/61805713</v>
      </c>
      <c r="C2264" s="2" t="s">
        <v>2889</v>
      </c>
      <c r="D2264" s="3">
        <v>45510.875590277778</v>
      </c>
      <c r="E2264" s="2" t="s">
        <v>1352</v>
      </c>
    </row>
    <row r="2265" spans="1:5" ht="84" x14ac:dyDescent="0.2">
      <c r="A2265" s="2" t="s">
        <v>713</v>
      </c>
      <c r="B2265" s="2" t="str">
        <f>HYPERLINK("https://www.wxii12.com/article/diet-high-in-fruits-and-vegetables-may-reduce-your-heart-kidney-disease-risk/61805713")</f>
        <v>https://www.wxii12.com/article/diet-high-in-fruits-and-vegetables-may-reduce-your-heart-kidney-disease-risk/61805713</v>
      </c>
      <c r="C2265" s="2" t="s">
        <v>2842</v>
      </c>
      <c r="D2265" s="3">
        <v>45510.875613425917</v>
      </c>
      <c r="E2265" s="2" t="s">
        <v>1352</v>
      </c>
    </row>
    <row r="2266" spans="1:5" ht="84" x14ac:dyDescent="0.2">
      <c r="A2266" s="2" t="s">
        <v>713</v>
      </c>
      <c r="B2266" s="2" t="str">
        <f>HYPERLINK("https://www.wdsu.com/article/diet-high-in-fruits-and-vegetables-may-reduce-your-heart-kidney-disease-risk/61805713")</f>
        <v>https://www.wdsu.com/article/diet-high-in-fruits-and-vegetables-may-reduce-your-heart-kidney-disease-risk/61805713</v>
      </c>
      <c r="C2266" s="2" t="s">
        <v>2853</v>
      </c>
      <c r="D2266" s="3">
        <v>45510.875613425917</v>
      </c>
      <c r="E2266" s="2" t="s">
        <v>1352</v>
      </c>
    </row>
    <row r="2267" spans="1:5" ht="84" x14ac:dyDescent="0.2">
      <c r="A2267" s="2" t="s">
        <v>713</v>
      </c>
      <c r="B2267" s="2" t="str">
        <f>HYPERLINK("https://www.koco.com/article/diet-high-in-fruits-and-vegetables-may-reduce-your-heart-kidney-disease-risk/61805713")</f>
        <v>https://www.koco.com/article/diet-high-in-fruits-and-vegetables-may-reduce-your-heart-kidney-disease-risk/61805713</v>
      </c>
      <c r="C2267" s="2" t="s">
        <v>2948</v>
      </c>
      <c r="D2267" s="3">
        <v>45510.875671296293</v>
      </c>
      <c r="E2267" s="2" t="s">
        <v>1352</v>
      </c>
    </row>
    <row r="2268" spans="1:5" ht="84" x14ac:dyDescent="0.2">
      <c r="A2268" s="2" t="s">
        <v>713</v>
      </c>
      <c r="B2268" s="2" t="str">
        <f>HYPERLINK("https://www.wlky.com/article/diet-high-in-fruits-and-vegetables-may-reduce-your-heart-kidney-disease-risk/61805713")</f>
        <v>https://www.wlky.com/article/diet-high-in-fruits-and-vegetables-may-reduce-your-heart-kidney-disease-risk/61805713</v>
      </c>
      <c r="C2268" s="2" t="s">
        <v>2730</v>
      </c>
      <c r="D2268" s="3">
        <v>45510.875694444447</v>
      </c>
      <c r="E2268" s="2" t="s">
        <v>1352</v>
      </c>
    </row>
    <row r="2269" spans="1:5" ht="84" x14ac:dyDescent="0.2">
      <c r="A2269" s="2" t="s">
        <v>713</v>
      </c>
      <c r="B2269" s="2" t="str">
        <f>HYPERLINK("https://www.kcra.com/article/diet-high-in-fruits-and-vegetables-may-reduce-your-heart-kidney-disease-risk/61805713")</f>
        <v>https://www.kcra.com/article/diet-high-in-fruits-and-vegetables-may-reduce-your-heart-kidney-disease-risk/61805713</v>
      </c>
      <c r="C2269" s="2" t="s">
        <v>3112</v>
      </c>
      <c r="D2269" s="3">
        <v>45510.876261574071</v>
      </c>
      <c r="E2269" s="2" t="s">
        <v>1352</v>
      </c>
    </row>
    <row r="2270" spans="1:5" ht="84" x14ac:dyDescent="0.2">
      <c r="A2270" s="2" t="s">
        <v>713</v>
      </c>
      <c r="B2270" s="2" t="str">
        <f>HYPERLINK("https://www.wlwt.com/article/diet-high-in-fruits-and-vegetables-may-reduce-your-heart-kidney-disease-risk/61805713")</f>
        <v>https://www.wlwt.com/article/diet-high-in-fruits-and-vegetables-may-reduce-your-heart-kidney-disease-risk/61805713</v>
      </c>
      <c r="C2270" s="2" t="s">
        <v>2944</v>
      </c>
      <c r="D2270" s="3">
        <v>45510.877650462957</v>
      </c>
      <c r="E2270" s="2" t="s">
        <v>1352</v>
      </c>
    </row>
    <row r="2271" spans="1:5" ht="56" x14ac:dyDescent="0.2">
      <c r="A2271" s="2" t="s">
        <v>713</v>
      </c>
      <c r="B2271" s="2" t="str">
        <f>HYPERLINK("https://www.koat.com/article/diet-high-in-fruits-and-vegetables-may-reduce-your-heart-kidney-disease-risk/61805713")</f>
        <v>https://www.koat.com/article/diet-high-in-fruits-and-vegetables-may-reduce-your-heart-kidney-disease-risk/61805713</v>
      </c>
      <c r="C2271" s="2" t="s">
        <v>2642</v>
      </c>
      <c r="D2271" s="3">
        <v>45510.878668981481</v>
      </c>
      <c r="E2271" s="2" t="s">
        <v>2644</v>
      </c>
    </row>
    <row r="2272" spans="1:5" ht="84" x14ac:dyDescent="0.2">
      <c r="A2272" s="2" t="s">
        <v>3626</v>
      </c>
      <c r="B2272" s="2" t="str">
        <f>HYPERLINK("https://tudoaovivo.com.br/veja-quais-alimentos-podem-reduzir-risco-de-doencas-cardiacas-e-renais/")</f>
        <v>https://tudoaovivo.com.br/veja-quais-alimentos-podem-reduzir-risco-de-doencas-cardiacas-e-renais/</v>
      </c>
      <c r="C2272" s="2" t="s">
        <v>4190</v>
      </c>
      <c r="D2272" s="3">
        <v>45510.913657407407</v>
      </c>
      <c r="E2272" s="2" t="s">
        <v>3628</v>
      </c>
    </row>
    <row r="2273" spans="1:5" ht="112" x14ac:dyDescent="0.2">
      <c r="A2273" s="2" t="s">
        <v>1676</v>
      </c>
      <c r="B2273" s="2" t="str">
        <f>HYPERLINK("https://reachmd.com/news/a-diet-high-in-fruits-and-vegetables-may-reduce-your-heart-and-kidney-disease-risk-study/2467694/")</f>
        <v>https://reachmd.com/news/a-diet-high-in-fruits-and-vegetables-may-reduce-your-heart-and-kidney-disease-risk-study/2467694/</v>
      </c>
      <c r="C2273" s="2" t="s">
        <v>1677</v>
      </c>
      <c r="D2273" s="3">
        <v>45511</v>
      </c>
      <c r="E2273" s="2" t="s">
        <v>411</v>
      </c>
    </row>
    <row r="2274" spans="1:5" ht="70" x14ac:dyDescent="0.2">
      <c r="A2274" s="2" t="s">
        <v>2691</v>
      </c>
      <c r="B2274" s="2" t="str">
        <f>HYPERLINK("https://www.balkanweb.com/sekreti-i-dietes-qe-mund-te-zvogeloje-rrezikun-e-ggsemundjeve-te-zemres-dhe-veshkave/")</f>
        <v>https://www.balkanweb.com/sekreti-i-dietes-qe-mund-te-zvogeloje-rrezikun-e-ggsemundjeve-te-zemres-dhe-veshkave/</v>
      </c>
      <c r="C2274" s="2" t="s">
        <v>2692</v>
      </c>
      <c r="D2274" s="3">
        <v>45511</v>
      </c>
      <c r="E2274" s="2" t="s">
        <v>607</v>
      </c>
    </row>
    <row r="2275" spans="1:5" ht="84" x14ac:dyDescent="0.2">
      <c r="A2275" s="2" t="s">
        <v>406</v>
      </c>
      <c r="B2275" s="2" t="str">
        <f>HYPERLINK("https://wealthcreationinvesting.com/health-news/diet-high-in-fruits-vegetables-may-reduce-heart-kidney-disease-risk-study-finds/")</f>
        <v>https://wealthcreationinvesting.com/health-news/diet-high-in-fruits-vegetables-may-reduce-heart-kidney-disease-risk-study-finds/</v>
      </c>
      <c r="C2275" s="2" t="s">
        <v>861</v>
      </c>
      <c r="D2275" s="3">
        <v>45511.081574074073</v>
      </c>
      <c r="E2275" s="2" t="s">
        <v>407</v>
      </c>
    </row>
    <row r="2276" spans="1:5" ht="70" x14ac:dyDescent="0.2">
      <c r="A2276" s="2" t="s">
        <v>1739</v>
      </c>
      <c r="B2276" s="2" t="str">
        <f>HYPERLINK("https://www.oranews.tv/lifestyle/sekreti-i-dietes-qe-mund-te-zvogeloje-rrezikun-e-ggsemundjeve-te-zemre-i1177346")</f>
        <v>https://www.oranews.tv/lifestyle/sekreti-i-dietes-qe-mund-te-zvogeloje-rrezikun-e-ggsemundjeve-te-zemre-i1177346</v>
      </c>
      <c r="C2276" s="2" t="s">
        <v>2340</v>
      </c>
      <c r="D2276" s="3">
        <v>45511.085613425923</v>
      </c>
      <c r="E2276" s="2" t="s">
        <v>2342</v>
      </c>
    </row>
    <row r="2277" spans="1:5" ht="112" x14ac:dyDescent="0.2">
      <c r="A2277" s="2" t="s">
        <v>820</v>
      </c>
      <c r="B2277" s="2" t="str">
        <f>HYPERLINK("https://health-reporter.news/fruits-and-vegetables-may-reduce-heart-kidney-disease-risk-study/")</f>
        <v>https://health-reporter.news/fruits-and-vegetables-may-reduce-heart-kidney-disease-risk-study/</v>
      </c>
      <c r="C2277" s="2" t="s">
        <v>222</v>
      </c>
      <c r="D2277" s="3">
        <v>45511.127395833333</v>
      </c>
      <c r="E2277" s="2" t="s">
        <v>821</v>
      </c>
    </row>
    <row r="2278" spans="1:5" ht="70" x14ac:dyDescent="0.2">
      <c r="A2278" s="2" t="s">
        <v>605</v>
      </c>
      <c r="B2278" s="2" t="str">
        <f>HYPERLINK("https://tirananews.al/sekreti-i-dietes-per-nje-zemer-dhe-veshka-me-te-shendetshme/")</f>
        <v>https://tirananews.al/sekreti-i-dietes-per-nje-zemer-dhe-veshka-me-te-shendetshme/</v>
      </c>
      <c r="C2278" s="2" t="s">
        <v>606</v>
      </c>
      <c r="D2278" s="3">
        <v>45511.136990740742</v>
      </c>
      <c r="E2278" s="2" t="s">
        <v>607</v>
      </c>
    </row>
    <row r="2279" spans="1:5" ht="70" x14ac:dyDescent="0.2">
      <c r="A2279" s="2" t="s">
        <v>608</v>
      </c>
      <c r="B2279" s="2" t="str">
        <f>HYPERLINK("https://tirananews.al/sekreti-i-dietes-per-zemer-dhe-veshka-me-te-shendetshme/")</f>
        <v>https://tirananews.al/sekreti-i-dietes-per-zemer-dhe-veshka-me-te-shendetshme/</v>
      </c>
      <c r="C2279" s="2" t="s">
        <v>606</v>
      </c>
      <c r="D2279" s="3">
        <v>45511.136990740742</v>
      </c>
      <c r="E2279" s="2" t="s">
        <v>607</v>
      </c>
    </row>
    <row r="2280" spans="1:5" ht="70" x14ac:dyDescent="0.2">
      <c r="A2280" s="2" t="s">
        <v>609</v>
      </c>
      <c r="B2280" s="2" t="str">
        <f>HYPERLINK("https://tirananews.al/sekreti-i-dietes-per-nje-zemer-me-te-shendetshme/")</f>
        <v>https://tirananews.al/sekreti-i-dietes-per-nje-zemer-me-te-shendetshme/</v>
      </c>
      <c r="C2280" s="2" t="s">
        <v>606</v>
      </c>
      <c r="D2280" s="3">
        <v>45511.137233796297</v>
      </c>
      <c r="E2280" s="2" t="s">
        <v>607</v>
      </c>
    </row>
    <row r="2281" spans="1:5" ht="70" x14ac:dyDescent="0.2">
      <c r="A2281" s="2" t="s">
        <v>1739</v>
      </c>
      <c r="B2281" s="2" t="str">
        <f>HYPERLINK("https://durreslajm.al/sekreti-i-dietes-qe-mund-te-zvogeloje-rrezikun-e-semundjeve-te-zemres-dhe-veshkave/")</f>
        <v>https://durreslajm.al/sekreti-i-dietes-qe-mund-te-zvogeloje-rrezikun-e-semundjeve-te-zemres-dhe-veshkave/</v>
      </c>
      <c r="C2281" s="2" t="s">
        <v>1740</v>
      </c>
      <c r="D2281" s="3">
        <v>45511.14576388889</v>
      </c>
      <c r="E2281" s="2" t="s">
        <v>607</v>
      </c>
    </row>
    <row r="2282" spans="1:5" ht="42" x14ac:dyDescent="0.2">
      <c r="A2282" s="2" t="s">
        <v>2932</v>
      </c>
      <c r="B2282" s="2" t="str">
        <f>HYPERLINK("https://www.dissapore.com/notizie/la-comunita-scientifica-chiede-alle-olimpiadi-di-farla-finita-con-coca-cola/")</f>
        <v>https://www.dissapore.com/notizie/la-comunita-scientifica-chiede-alle-olimpiadi-di-farla-finita-con-coca-cola/</v>
      </c>
      <c r="C2282" s="2" t="s">
        <v>2933</v>
      </c>
      <c r="D2282" s="3">
        <v>45511.193912037037</v>
      </c>
      <c r="E2282" s="2" t="s">
        <v>2934</v>
      </c>
    </row>
    <row r="2283" spans="1:5" ht="98" x14ac:dyDescent="0.2">
      <c r="A2283" s="2" t="s">
        <v>3150</v>
      </c>
      <c r="B2283" s="2" t="str">
        <f>HYPERLINK("https://www.penzcentrum.hu/egeszseg/20240807/megkongattak-a-veszharangot-a-dietetikusok-sulyos-betegseg-lehet-a-vege-ha-nem-igy-taplalkozol-1154715")</f>
        <v>https://www.penzcentrum.hu/egeszseg/20240807/megkongattak-a-veszharangot-a-dietetikusok-sulyos-betegseg-lehet-a-vege-ha-nem-igy-taplalkozol-1154715</v>
      </c>
      <c r="C2283" s="2" t="s">
        <v>3151</v>
      </c>
      <c r="D2283" s="3">
        <v>45511.225312499999</v>
      </c>
      <c r="E2283" s="2" t="s">
        <v>3152</v>
      </c>
    </row>
    <row r="2284" spans="1:5" ht="56" x14ac:dyDescent="0.2">
      <c r="A2284" s="2" t="s">
        <v>2668</v>
      </c>
      <c r="B2284" s="2" t="str">
        <f>HYPERLINK("https://www.koha.net/lifestyle/428196/studimi-ngrenia-e-me-shume-frutave-e-perime-ule-rrezikun-nga-semundjet-e-zemres-e-veshkave")</f>
        <v>https://www.koha.net/lifestyle/428196/studimi-ngrenia-e-me-shume-frutave-e-perime-ule-rrezikun-nga-semundjet-e-zemres-e-veshkave</v>
      </c>
      <c r="C2284" s="2" t="s">
        <v>2669</v>
      </c>
      <c r="D2284" s="3">
        <v>45511.307951388888</v>
      </c>
      <c r="E2284" s="2" t="s">
        <v>2670</v>
      </c>
    </row>
    <row r="2285" spans="1:5" ht="56" x14ac:dyDescent="0.2">
      <c r="A2285" s="2" t="s">
        <v>3510</v>
      </c>
      <c r="B2285" s="2" t="str">
        <f>HYPERLINK("https://www1.folha.uol.com.br/equilibrio/2024/08/pesquisa-tenta-desvendar-como-os-alimentos-ultraprocessados-afetam-a-saude.shtml")</f>
        <v>https://www1.folha.uol.com.br/equilibrio/2024/08/pesquisa-tenta-desvendar-como-os-alimentos-ultraprocessados-afetam-a-saude.shtml</v>
      </c>
      <c r="C2285" s="2" t="s">
        <v>3511</v>
      </c>
      <c r="D2285" s="3">
        <v>45511.367847222216</v>
      </c>
      <c r="E2285" s="2" t="s">
        <v>3512</v>
      </c>
    </row>
    <row r="2286" spans="1:5" ht="56" x14ac:dyDescent="0.2">
      <c r="A2286" s="2" t="s">
        <v>3510</v>
      </c>
      <c r="B2286" s="2" t="str">
        <f>HYPERLINK("https://maistopnews.com.br/pesquisa-tenta-desvendar-como-os-alimentos-ultraprocessados-afetam-a-saude/")</f>
        <v>https://maistopnews.com.br/pesquisa-tenta-desvendar-como-os-alimentos-ultraprocessados-afetam-a-saude/</v>
      </c>
      <c r="C2286" s="2" t="s">
        <v>3816</v>
      </c>
      <c r="D2286" s="3">
        <v>45511.384027777778</v>
      </c>
      <c r="E2286" s="2" t="s">
        <v>3817</v>
      </c>
    </row>
    <row r="2287" spans="1:5" ht="112" x14ac:dyDescent="0.2">
      <c r="A2287" s="2" t="s">
        <v>2583</v>
      </c>
      <c r="B2287" s="2" t="str">
        <f>HYPERLINK("https://www.local3news.com/local-news/eye-on-health/a-diet-high-in-fruits-vegetables-may-reduce-risk-of-heart-kidney-disease-study-says/article_0f7837a0-54e2-11ef-8a24-0f8b5c292ce9.html")</f>
        <v>https://www.local3news.com/local-news/eye-on-health/a-diet-high-in-fruits-vegetables-may-reduce-risk-of-heart-kidney-disease-study-says/article_0f7837a0-54e2-11ef-8a24-0f8b5c292ce9.html</v>
      </c>
      <c r="C2287" s="2" t="s">
        <v>2582</v>
      </c>
      <c r="D2287" s="3">
        <v>45511.573738425926</v>
      </c>
      <c r="E2287" s="2" t="s">
        <v>714</v>
      </c>
    </row>
    <row r="2288" spans="1:5" ht="84" x14ac:dyDescent="0.2">
      <c r="A2288" s="2" t="s">
        <v>713</v>
      </c>
      <c r="B2288" s="2" t="str">
        <f>HYPERLINK("https://coach.nine.com.au/latest/diet-high-in-fruits-vegetables-may-reduce-heart-kidney-disease-risk-study/44d7f8b6-0a8b-45ee-b0d9-8879cf602f74")</f>
        <v>https://coach.nine.com.au/latest/diet-high-in-fruits-vegetables-may-reduce-heart-kidney-disease-risk-study/44d7f8b6-0a8b-45ee-b0d9-8879cf602f74</v>
      </c>
      <c r="C2288" s="2" t="s">
        <v>2162</v>
      </c>
      <c r="D2288" s="3">
        <v>45511.971782407411</v>
      </c>
      <c r="E2288" s="2" t="s">
        <v>1352</v>
      </c>
    </row>
    <row r="2289" spans="1:5" ht="42" x14ac:dyDescent="0.2">
      <c r="A2289" s="2" t="s">
        <v>4002</v>
      </c>
      <c r="B2289" s="2" t="str">
        <f>HYPERLINK("https://tv6onair.com/tv6onair-la-ordine-scientifica-chiede-alle-olimpiadi-a-causa-di-farla-finita-come-coca-cola/")</f>
        <v>https://tv6onair.com/tv6onair-la-ordine-scientifica-chiede-alle-olimpiadi-a-causa-di-farla-finita-come-coca-cola/</v>
      </c>
      <c r="C2289" s="2" t="s">
        <v>4003</v>
      </c>
      <c r="D2289" s="3">
        <v>45511.986238425918</v>
      </c>
      <c r="E2289" s="2" t="s">
        <v>2934</v>
      </c>
    </row>
    <row r="2290" spans="1:5" ht="84" x14ac:dyDescent="0.2">
      <c r="A2290" s="2" t="s">
        <v>713</v>
      </c>
      <c r="B2290" s="2" t="str">
        <f>HYPERLINK("https://health-reporter.news/a-diet-high-in-fruits-and-vegetables-may-reduce-your-heart-and-kidney-disease-risk-study-says/")</f>
        <v>https://health-reporter.news/a-diet-high-in-fruits-and-vegetables-may-reduce-your-heart-and-kidney-disease-risk-study-says/</v>
      </c>
      <c r="C2290" s="2" t="s">
        <v>222</v>
      </c>
      <c r="D2290" s="3">
        <v>45511.995138888888</v>
      </c>
      <c r="E2290" s="2" t="s">
        <v>407</v>
      </c>
    </row>
    <row r="2291" spans="1:5" ht="112" x14ac:dyDescent="0.2">
      <c r="A2291" s="2" t="s">
        <v>1057</v>
      </c>
      <c r="B2291" s="2" t="str">
        <f>HYPERLINK("https://www.simfruit.cl/investigacion-consumo-de-frutas-y-verduras-ayuda-en-el-tratamiento-de-enfermedades-cardiacas-y-renales/")</f>
        <v>https://www.simfruit.cl/investigacion-consumo-de-frutas-y-verduras-ayuda-en-el-tratamiento-de-enfermedades-cardiacas-y-renales/</v>
      </c>
      <c r="C2291" s="2" t="s">
        <v>1058</v>
      </c>
      <c r="D2291" s="3">
        <v>45512</v>
      </c>
      <c r="E2291" s="2" t="s">
        <v>1059</v>
      </c>
    </row>
    <row r="2292" spans="1:5" ht="84" x14ac:dyDescent="0.2">
      <c r="A2292" s="2" t="s">
        <v>3406</v>
      </c>
      <c r="B2292" s="2" t="str">
        <f>HYPERLINK("https://piauinoticias.com/destaque-sa%C3%BAde/115756-ado%C3%A7antes-artificiais-s%C3%A3o-mais-seguros-que-o-a%C3%A7%C3%BAcar-cientistas-tentam-responder.html")</f>
        <v>https://piauinoticias.com/destaque-sa%C3%BAde/115756-ado%C3%A7antes-artificiais-s%C3%A3o-mais-seguros-que-o-a%C3%A7%C3%BAcar-cientistas-tentam-responder.html</v>
      </c>
      <c r="C2292" s="2" t="s">
        <v>4084</v>
      </c>
      <c r="D2292" s="3">
        <v>45512.447928240741</v>
      </c>
      <c r="E2292" s="2" t="s">
        <v>3408</v>
      </c>
    </row>
    <row r="2293" spans="1:5" ht="70" x14ac:dyDescent="0.2">
      <c r="A2293" s="2" t="s">
        <v>3328</v>
      </c>
      <c r="B2293" s="2" t="str">
        <f>HYPERLINK("https://www.adnradio.cl/2024/08/08/son-realmente-seguros-los-endulzantes-para-el-te-y-el-cafe-que-dicen-los-estudios-al-respecto/")</f>
        <v>https://www.adnradio.cl/2024/08/08/son-realmente-seguros-los-endulzantes-para-el-te-y-el-cafe-que-dicen-los-estudios-al-respecto/</v>
      </c>
      <c r="C2293" s="2" t="s">
        <v>3329</v>
      </c>
      <c r="D2293" s="3">
        <v>45512.653495370367</v>
      </c>
      <c r="E2293" s="2" t="s">
        <v>3330</v>
      </c>
    </row>
    <row r="2294" spans="1:5" ht="56" x14ac:dyDescent="0.2">
      <c r="A2294" s="2" t="s">
        <v>160</v>
      </c>
      <c r="B2294" s="2" t="str">
        <f>HYPERLINK("https://bitebi.com/vitamin-supplements-do-not-improve-mortality-alas/")</f>
        <v>https://bitebi.com/vitamin-supplements-do-not-improve-mortality-alas/</v>
      </c>
      <c r="C2294" s="2" t="s">
        <v>15</v>
      </c>
      <c r="D2294" s="3">
        <v>45512.898946759262</v>
      </c>
      <c r="E2294" s="2" t="s">
        <v>161</v>
      </c>
    </row>
    <row r="2295" spans="1:5" ht="112" x14ac:dyDescent="0.2">
      <c r="A2295" s="2" t="s">
        <v>147</v>
      </c>
      <c r="B2295" s="2" t="str">
        <f>HYPERLINK("https://www.wfdd.org/story/public-health-advocates-push-olympics-drop-coca-cola-sponsorship")</f>
        <v>https://www.wfdd.org/story/public-health-advocates-push-olympics-drop-coca-cola-sponsorship</v>
      </c>
      <c r="C2295" s="2" t="s">
        <v>1474</v>
      </c>
      <c r="D2295" s="3">
        <v>45513</v>
      </c>
      <c r="E2295" s="2" t="s">
        <v>1147</v>
      </c>
    </row>
    <row r="2296" spans="1:5" ht="112" x14ac:dyDescent="0.2">
      <c r="A2296" s="2" t="s">
        <v>147</v>
      </c>
      <c r="B2296" s="2" t="str">
        <f>HYPERLINK("https://wysu.org/npr-national-news/2024-08-09/public-health-advocates-push-olympics-to-drop-coca-cola-sponsorship")</f>
        <v>https://wysu.org/npr-national-news/2024-08-09/public-health-advocates-push-olympics-to-drop-coca-cola-sponsorship</v>
      </c>
      <c r="C2296" s="2" t="s">
        <v>689</v>
      </c>
      <c r="D2296" s="3">
        <v>45513.126388888893</v>
      </c>
      <c r="E2296" s="2" t="s">
        <v>613</v>
      </c>
    </row>
    <row r="2297" spans="1:5" ht="112" x14ac:dyDescent="0.2">
      <c r="A2297" s="2" t="s">
        <v>147</v>
      </c>
      <c r="B2297" s="2" t="str">
        <f>HYPERLINK("https://www.kmxt.org/2024-08-09/public-health-advocates-push-olympics-to-drop-coca-cola-sponsorship")</f>
        <v>https://www.kmxt.org/2024-08-09/public-health-advocates-push-olympics-to-drop-coca-cola-sponsorship</v>
      </c>
      <c r="C2297" s="2" t="s">
        <v>726</v>
      </c>
      <c r="D2297" s="3">
        <v>45513.126388888893</v>
      </c>
      <c r="E2297" s="2" t="s">
        <v>613</v>
      </c>
    </row>
    <row r="2298" spans="1:5" ht="112" x14ac:dyDescent="0.2">
      <c r="A2298" s="2" t="s">
        <v>147</v>
      </c>
      <c r="B2298" s="2" t="str">
        <f>HYPERLINK("https://www.ktep.org/2024-08-09/public-health-advocates-push-olympics-to-drop-coca-cola-sponsorship")</f>
        <v>https://www.ktep.org/2024-08-09/public-health-advocates-push-olympics-to-drop-coca-cola-sponsorship</v>
      </c>
      <c r="C2298" s="2" t="s">
        <v>849</v>
      </c>
      <c r="D2298" s="3">
        <v>45513.126388888893</v>
      </c>
      <c r="E2298" s="2" t="s">
        <v>613</v>
      </c>
    </row>
    <row r="2299" spans="1:5" ht="112" x14ac:dyDescent="0.2">
      <c r="A2299" s="2" t="s">
        <v>147</v>
      </c>
      <c r="B2299" s="2" t="str">
        <f>HYPERLINK("https://www.kedm.org/npr-news/2024-08-09/public-health-advocates-push-olympics-to-drop-coca-cola-sponsorship")</f>
        <v>https://www.kedm.org/npr-news/2024-08-09/public-health-advocates-push-olympics-to-drop-coca-cola-sponsorship</v>
      </c>
      <c r="C2299" s="2" t="s">
        <v>868</v>
      </c>
      <c r="D2299" s="3">
        <v>45513.126388888893</v>
      </c>
      <c r="E2299" s="2" t="s">
        <v>613</v>
      </c>
    </row>
    <row r="2300" spans="1:5" ht="112" x14ac:dyDescent="0.2">
      <c r="A2300" s="2" t="s">
        <v>147</v>
      </c>
      <c r="B2300" s="2" t="str">
        <f>HYPERLINK("https://www.wnmufm.org/2024-08-09/public-health-advocates-push-olympics-to-drop-coca-cola-sponsorship")</f>
        <v>https://www.wnmufm.org/2024-08-09/public-health-advocates-push-olympics-to-drop-coca-cola-sponsorship</v>
      </c>
      <c r="C2300" s="2" t="s">
        <v>1102</v>
      </c>
      <c r="D2300" s="3">
        <v>45513.126388888893</v>
      </c>
      <c r="E2300" s="2" t="s">
        <v>613</v>
      </c>
    </row>
    <row r="2301" spans="1:5" ht="112" x14ac:dyDescent="0.2">
      <c r="A2301" s="2" t="s">
        <v>147</v>
      </c>
      <c r="B2301" s="2" t="str">
        <f>HYPERLINK("https://www.wmky.org/npr-news/2024-08-09/public-health-advocates-push-olympics-to-drop-coca-cola-sponsorship")</f>
        <v>https://www.wmky.org/npr-news/2024-08-09/public-health-advocates-push-olympics-to-drop-coca-cola-sponsorship</v>
      </c>
      <c r="C2301" s="2" t="s">
        <v>1095</v>
      </c>
      <c r="D2301" s="3">
        <v>45513.126388888893</v>
      </c>
      <c r="E2301" s="2" t="s">
        <v>613</v>
      </c>
    </row>
    <row r="2302" spans="1:5" ht="112" x14ac:dyDescent="0.2">
      <c r="A2302" s="2" t="s">
        <v>147</v>
      </c>
      <c r="B2302" s="2" t="str">
        <f>HYPERLINK("https://www.mynspr.org/2024-08-09/public-health-advocates-push-olympics-to-drop-coca-cola-sponsorship")</f>
        <v>https://www.mynspr.org/2024-08-09/public-health-advocates-push-olympics-to-drop-coca-cola-sponsorship</v>
      </c>
      <c r="C2302" s="2" t="s">
        <v>1182</v>
      </c>
      <c r="D2302" s="3">
        <v>45513.126388888893</v>
      </c>
      <c r="E2302" s="2" t="s">
        <v>613</v>
      </c>
    </row>
    <row r="2303" spans="1:5" ht="112" x14ac:dyDescent="0.2">
      <c r="A2303" s="2" t="s">
        <v>147</v>
      </c>
      <c r="B2303" s="2" t="str">
        <f>HYPERLINK("https://news.prairiepublic.org/news-from-npr/2024-08-09/public-health-advocates-push-olympics-to-drop-coca-cola-sponsorship")</f>
        <v>https://news.prairiepublic.org/news-from-npr/2024-08-09/public-health-advocates-push-olympics-to-drop-coca-cola-sponsorship</v>
      </c>
      <c r="C2303" s="2" t="s">
        <v>1145</v>
      </c>
      <c r="D2303" s="3">
        <v>45513.126388888893</v>
      </c>
      <c r="E2303" s="2" t="s">
        <v>613</v>
      </c>
    </row>
    <row r="2304" spans="1:5" ht="112" x14ac:dyDescent="0.2">
      <c r="A2304" s="2" t="s">
        <v>147</v>
      </c>
      <c r="B2304" s="2" t="str">
        <f>HYPERLINK("https://kansaspublicradio.org/npr-news/2024-08-09/public-health-advocates-push-olympics-to-drop-coca-cola-sponsorship")</f>
        <v>https://kansaspublicradio.org/npr-news/2024-08-09/public-health-advocates-push-olympics-to-drop-coca-cola-sponsorship</v>
      </c>
      <c r="C2304" s="2" t="s">
        <v>1226</v>
      </c>
      <c r="D2304" s="3">
        <v>45513.126388888893</v>
      </c>
      <c r="E2304" s="2" t="s">
        <v>613</v>
      </c>
    </row>
    <row r="2305" spans="1:5" ht="112" x14ac:dyDescent="0.2">
      <c r="A2305" s="2" t="s">
        <v>147</v>
      </c>
      <c r="B2305" s="2" t="str">
        <f>HYPERLINK("https://www.wmra.org/2024-08-09/public-health-advocates-push-olympics-to-drop-coca-cola-sponsorship")</f>
        <v>https://www.wmra.org/2024-08-09/public-health-advocates-push-olympics-to-drop-coca-cola-sponsorship</v>
      </c>
      <c r="C2305" s="2" t="s">
        <v>1150</v>
      </c>
      <c r="D2305" s="3">
        <v>45513.126388888893</v>
      </c>
      <c r="E2305" s="2" t="s">
        <v>613</v>
      </c>
    </row>
    <row r="2306" spans="1:5" ht="112" x14ac:dyDescent="0.2">
      <c r="A2306" s="2" t="s">
        <v>147</v>
      </c>
      <c r="B2306" s="2" t="str">
        <f>HYPERLINK("https://www.weku.org/npr-news/2024-08-09/public-health-advocates-push-olympics-to-drop-coca-cola-sponsorship")</f>
        <v>https://www.weku.org/npr-news/2024-08-09/public-health-advocates-push-olympics-to-drop-coca-cola-sponsorship</v>
      </c>
      <c r="C2306" s="2" t="s">
        <v>1356</v>
      </c>
      <c r="D2306" s="3">
        <v>45513.126388888893</v>
      </c>
      <c r="E2306" s="2" t="s">
        <v>613</v>
      </c>
    </row>
    <row r="2307" spans="1:5" ht="112" x14ac:dyDescent="0.2">
      <c r="A2307" s="2" t="s">
        <v>147</v>
      </c>
      <c r="B2307" s="2" t="str">
        <f>HYPERLINK("https://www.ksmu.org/2024-08-09/public-health-advocates-push-olympics-to-drop-coca-cola-sponsorship")</f>
        <v>https://www.ksmu.org/2024-08-09/public-health-advocates-push-olympics-to-drop-coca-cola-sponsorship</v>
      </c>
      <c r="C2307" s="2" t="s">
        <v>1380</v>
      </c>
      <c r="D2307" s="3">
        <v>45513.126388888893</v>
      </c>
      <c r="E2307" s="2" t="s">
        <v>613</v>
      </c>
    </row>
    <row r="2308" spans="1:5" ht="112" x14ac:dyDescent="0.2">
      <c r="A2308" s="2" t="s">
        <v>147</v>
      </c>
      <c r="B2308" s="2" t="str">
        <f>HYPERLINK("https://www.ualrpublicradio.org/npr-news/2024-08-09/public-health-advocates-push-olympics-to-drop-coca-cola-sponsorship")</f>
        <v>https://www.ualrpublicradio.org/npr-news/2024-08-09/public-health-advocates-push-olympics-to-drop-coca-cola-sponsorship</v>
      </c>
      <c r="C2308" s="2" t="s">
        <v>1406</v>
      </c>
      <c r="D2308" s="3">
        <v>45513.126388888893</v>
      </c>
      <c r="E2308" s="2" t="s">
        <v>613</v>
      </c>
    </row>
    <row r="2309" spans="1:5" ht="112" x14ac:dyDescent="0.2">
      <c r="A2309" s="2" t="s">
        <v>147</v>
      </c>
      <c r="B2309" s="2" t="str">
        <f>HYPERLINK("https://www.interlochenpublicradio.org/2024-08-09/public-health-advocates-push-olympics-to-drop-coca-cola-sponsorship")</f>
        <v>https://www.interlochenpublicradio.org/2024-08-09/public-health-advocates-push-olympics-to-drop-coca-cola-sponsorship</v>
      </c>
      <c r="C2309" s="2" t="s">
        <v>1374</v>
      </c>
      <c r="D2309" s="3">
        <v>45513.126388888893</v>
      </c>
      <c r="E2309" s="2" t="s">
        <v>613</v>
      </c>
    </row>
    <row r="2310" spans="1:5" ht="112" x14ac:dyDescent="0.2">
      <c r="A2310" s="2" t="s">
        <v>147</v>
      </c>
      <c r="B2310" s="2" t="str">
        <f>HYPERLINK("https://news.wnin.org/2024-08-09/public-health-advocates-push-olympics-to-drop-coca-cola-sponsorship")</f>
        <v>https://news.wnin.org/2024-08-09/public-health-advocates-push-olympics-to-drop-coca-cola-sponsorship</v>
      </c>
      <c r="C2310" s="2" t="s">
        <v>1198</v>
      </c>
      <c r="D2310" s="3">
        <v>45513.126388888893</v>
      </c>
      <c r="E2310" s="2" t="s">
        <v>613</v>
      </c>
    </row>
    <row r="2311" spans="1:5" ht="112" x14ac:dyDescent="0.2">
      <c r="A2311" s="2" t="s">
        <v>147</v>
      </c>
      <c r="B2311" s="2" t="str">
        <f>HYPERLINK("https://www.sdpb.org/2024-08-09/public-health-advocates-push-olympics-to-drop-coca-cola-sponsorship")</f>
        <v>https://www.sdpb.org/2024-08-09/public-health-advocates-push-olympics-to-drop-coca-cola-sponsorship</v>
      </c>
      <c r="C2311" s="2" t="s">
        <v>1819</v>
      </c>
      <c r="D2311" s="3">
        <v>45513.126388888893</v>
      </c>
      <c r="E2311" s="2" t="s">
        <v>613</v>
      </c>
    </row>
    <row r="2312" spans="1:5" ht="112" x14ac:dyDescent="0.2">
      <c r="A2312" s="2" t="s">
        <v>147</v>
      </c>
      <c r="B2312" s="2" t="str">
        <f>HYPERLINK("https://health.wusf.usf.edu/npr-health/2024-08-09/public-health-advocates-push-olympics-to-drop-coca-cola-sponsorship")</f>
        <v>https://health.wusf.usf.edu/npr-health/2024-08-09/public-health-advocates-push-olympics-to-drop-coca-cola-sponsorship</v>
      </c>
      <c r="C2312" s="2" t="s">
        <v>1848</v>
      </c>
      <c r="D2312" s="3">
        <v>45513.126388888893</v>
      </c>
      <c r="E2312" s="2" t="s">
        <v>613</v>
      </c>
    </row>
    <row r="2313" spans="1:5" ht="112" x14ac:dyDescent="0.2">
      <c r="A2313" s="2" t="s">
        <v>147</v>
      </c>
      <c r="B2313" s="2" t="str">
        <f>HYPERLINK("https://www.iowapublicradio.org/news-from-npr/2024-08-09/public-health-advocates-push-olympics-to-drop-coca-cola-sponsorship")</f>
        <v>https://www.iowapublicradio.org/news-from-npr/2024-08-09/public-health-advocates-push-olympics-to-drop-coca-cola-sponsorship</v>
      </c>
      <c r="C2313" s="2" t="s">
        <v>1912</v>
      </c>
      <c r="D2313" s="3">
        <v>45513.126388888893</v>
      </c>
      <c r="E2313" s="2" t="s">
        <v>613</v>
      </c>
    </row>
    <row r="2314" spans="1:5" ht="168" x14ac:dyDescent="0.2">
      <c r="A2314" s="2" t="s">
        <v>147</v>
      </c>
      <c r="B2314" s="2" t="str">
        <f>HYPERLINK("https://www.vpm.org/npr-news/npr-news/2024-08-09/public-health-advocates-push-olympics-to-drop-coca-cola-sponsorship")</f>
        <v>https://www.vpm.org/npr-news/npr-news/2024-08-09/public-health-advocates-push-olympics-to-drop-coca-cola-sponsorship</v>
      </c>
      <c r="C2314" s="2" t="s">
        <v>1972</v>
      </c>
      <c r="D2314" s="3">
        <v>45513.126388888893</v>
      </c>
      <c r="E2314" s="2" t="s">
        <v>1973</v>
      </c>
    </row>
    <row r="2315" spans="1:5" ht="112" x14ac:dyDescent="0.2">
      <c r="A2315" s="2" t="s">
        <v>147</v>
      </c>
      <c r="B2315" s="2" t="str">
        <f>HYPERLINK("https://www.wamc.org/2024-08-09/public-health-advocates-push-olympics-to-drop-coca-cola-sponsorship")</f>
        <v>https://www.wamc.org/2024-08-09/public-health-advocates-push-olympics-to-drop-coca-cola-sponsorship</v>
      </c>
      <c r="C2315" s="2" t="s">
        <v>2071</v>
      </c>
      <c r="D2315" s="3">
        <v>45513.126388888893</v>
      </c>
      <c r="E2315" s="2" t="s">
        <v>613</v>
      </c>
    </row>
    <row r="2316" spans="1:5" ht="112" x14ac:dyDescent="0.2">
      <c r="A2316" s="2" t="s">
        <v>147</v>
      </c>
      <c r="B2316" s="2" t="str">
        <f>HYPERLINK("https://www.wusf.org/2024-08-09/public-health-advocates-push-olympics-to-drop-coca-cola-sponsorship")</f>
        <v>https://www.wusf.org/2024-08-09/public-health-advocates-push-olympics-to-drop-coca-cola-sponsorship</v>
      </c>
      <c r="C2316" s="2" t="s">
        <v>2382</v>
      </c>
      <c r="D2316" s="3">
        <v>45513.126388888893</v>
      </c>
      <c r="E2316" s="2" t="s">
        <v>613</v>
      </c>
    </row>
    <row r="2317" spans="1:5" ht="112" x14ac:dyDescent="0.2">
      <c r="A2317" s="2" t="s">
        <v>147</v>
      </c>
      <c r="B2317" s="2" t="str">
        <f>HYPERLINK("https://news.wjct.org/2024-08-09/public-health-advocates-push-olympics-to-drop-coca-cola-sponsorship")</f>
        <v>https://news.wjct.org/2024-08-09/public-health-advocates-push-olympics-to-drop-coca-cola-sponsorship</v>
      </c>
      <c r="C2317" s="2" t="s">
        <v>1399</v>
      </c>
      <c r="D2317" s="3">
        <v>45513.293055555558</v>
      </c>
      <c r="E2317" s="2" t="s">
        <v>554</v>
      </c>
    </row>
    <row r="2318" spans="1:5" ht="112" x14ac:dyDescent="0.2">
      <c r="A2318" s="2" t="s">
        <v>147</v>
      </c>
      <c r="B2318" s="2" t="str">
        <f>HYPERLINK("https://thepublicsradio.org/npr/public-health-advocates-push-olympics-to-drop-coca-cola-sponsorship/")</f>
        <v>https://thepublicsradio.org/npr/public-health-advocates-push-olympics-to-drop-coca-cola-sponsorship/</v>
      </c>
      <c r="C2318" s="2" t="s">
        <v>1331</v>
      </c>
      <c r="D2318" s="3">
        <v>45513.293055555558</v>
      </c>
      <c r="E2318" s="2" t="s">
        <v>544</v>
      </c>
    </row>
    <row r="2319" spans="1:5" ht="112" x14ac:dyDescent="0.2">
      <c r="A2319" s="2" t="s">
        <v>147</v>
      </c>
      <c r="B2319" s="2" t="str">
        <f>HYPERLINK("https://www.wuft.org/2024-08-09/public-health-advocates-push-olympics-to-drop-coca-cola-sponsorship")</f>
        <v>https://www.wuft.org/2024-08-09/public-health-advocates-push-olympics-to-drop-coca-cola-sponsorship</v>
      </c>
      <c r="C2319" s="2" t="s">
        <v>2048</v>
      </c>
      <c r="D2319" s="3">
        <v>45513.293055555558</v>
      </c>
      <c r="E2319" s="2" t="s">
        <v>554</v>
      </c>
    </row>
    <row r="2320" spans="1:5" ht="112" x14ac:dyDescent="0.2">
      <c r="A2320" s="2" t="s">
        <v>147</v>
      </c>
      <c r="B2320" s="2" t="str">
        <f>HYPERLINK("https://www.kjzz.org/npr-top-stories/2024-08-09/public-health-advocates-push-olympics-to-drop-coca-cola-sponsorship")</f>
        <v>https://www.kjzz.org/npr-top-stories/2024-08-09/public-health-advocates-push-olympics-to-drop-coca-cola-sponsorship</v>
      </c>
      <c r="C2320" s="2" t="s">
        <v>2349</v>
      </c>
      <c r="D2320" s="3">
        <v>45513.293055555558</v>
      </c>
      <c r="E2320" s="2" t="s">
        <v>554</v>
      </c>
    </row>
    <row r="2321" spans="1:5" ht="112" x14ac:dyDescent="0.2">
      <c r="A2321" s="2" t="s">
        <v>147</v>
      </c>
      <c r="B2321" s="2" t="str">
        <f>HYPERLINK("https://radio.wcmu.org/health-science-and-environment/2024-08-09/public-health-advocates-push-olympics-to-drop-coca-cola-sponsorship")</f>
        <v>https://radio.wcmu.org/health-science-and-environment/2024-08-09/public-health-advocates-push-olympics-to-drop-coca-cola-sponsorship</v>
      </c>
      <c r="C2321" s="2" t="s">
        <v>1127</v>
      </c>
      <c r="D2321" s="3">
        <v>45513.299537037034</v>
      </c>
      <c r="E2321" s="2" t="s">
        <v>613</v>
      </c>
    </row>
    <row r="2322" spans="1:5" ht="112" x14ac:dyDescent="0.2">
      <c r="A2322" s="2" t="s">
        <v>147</v>
      </c>
      <c r="B2322" s="2" t="str">
        <f>HYPERLINK("https://www.tspr.org/npr-news/2024-08-09/public-health-advocates-push-olympics-to-drop-coca-cola-sponsorship")</f>
        <v>https://www.tspr.org/npr-news/2024-08-09/public-health-advocates-push-olympics-to-drop-coca-cola-sponsorship</v>
      </c>
      <c r="C2322" s="2" t="s">
        <v>1083</v>
      </c>
      <c r="D2322" s="3">
        <v>45513.301215277781</v>
      </c>
      <c r="E2322" s="2" t="s">
        <v>613</v>
      </c>
    </row>
    <row r="2323" spans="1:5" ht="112" x14ac:dyDescent="0.2">
      <c r="A2323" s="2" t="s">
        <v>147</v>
      </c>
      <c r="B2323" s="2" t="str">
        <f>HYPERLINK("https://www.kosu.org/top-stories-from-npr/2024-08-09/public-health-advocates-push-olympics-to-drop-coca-cola-sponsorship")</f>
        <v>https://www.kosu.org/top-stories-from-npr/2024-08-09/public-health-advocates-push-olympics-to-drop-coca-cola-sponsorship</v>
      </c>
      <c r="C2323" s="2" t="s">
        <v>1978</v>
      </c>
      <c r="D2323" s="3">
        <v>45513.301238425927</v>
      </c>
      <c r="E2323" s="2" t="s">
        <v>613</v>
      </c>
    </row>
    <row r="2324" spans="1:5" ht="112" x14ac:dyDescent="0.2">
      <c r="A2324" s="2" t="s">
        <v>147</v>
      </c>
      <c r="B2324" s="2" t="str">
        <f>HYPERLINK("https://www.apr.org/science-health/2024-08-09/public-health-advocates-push-olympics-to-drop-coca-cola-sponsorship")</f>
        <v>https://www.apr.org/science-health/2024-08-09/public-health-advocates-push-olympics-to-drop-coca-cola-sponsorship</v>
      </c>
      <c r="C2324" s="2" t="s">
        <v>1452</v>
      </c>
      <c r="D2324" s="3">
        <v>45513.30133101852</v>
      </c>
      <c r="E2324" s="2" t="s">
        <v>613</v>
      </c>
    </row>
    <row r="2325" spans="1:5" ht="112" x14ac:dyDescent="0.2">
      <c r="A2325" s="2" t="s">
        <v>147</v>
      </c>
      <c r="B2325" s="2" t="str">
        <f>HYPERLINK("https://www.wuwf.org/2024-08-09/public-health-advocates-push-olympics-to-drop-coca-cola-sponsorship")</f>
        <v>https://www.wuwf.org/2024-08-09/public-health-advocates-push-olympics-to-drop-coca-cola-sponsorship</v>
      </c>
      <c r="C2325" s="2" t="s">
        <v>1288</v>
      </c>
      <c r="D2325" s="3">
        <v>45513.301342592589</v>
      </c>
      <c r="E2325" s="2" t="s">
        <v>613</v>
      </c>
    </row>
    <row r="2326" spans="1:5" ht="112" x14ac:dyDescent="0.2">
      <c r="A2326" s="2" t="s">
        <v>147</v>
      </c>
      <c r="B2326" s="2" t="str">
        <f>HYPERLINK("https://www.kasu.org/health-science/2024-08-09/public-health-advocates-push-olympics-to-drop-coca-cola-sponsorship")</f>
        <v>https://www.kasu.org/health-science/2024-08-09/public-health-advocates-push-olympics-to-drop-coca-cola-sponsorship</v>
      </c>
      <c r="C2326" s="2" t="s">
        <v>900</v>
      </c>
      <c r="D2326" s="3">
        <v>45513.301458333342</v>
      </c>
      <c r="E2326" s="2" t="s">
        <v>613</v>
      </c>
    </row>
    <row r="2327" spans="1:5" ht="112" x14ac:dyDescent="0.2">
      <c r="A2327" s="2" t="s">
        <v>147</v>
      </c>
      <c r="B2327" s="2" t="str">
        <f>HYPERLINK("https://www.knau.org/npr-news/2024-08-09/public-health-advocates-push-olympics-to-drop-coca-cola-sponsorship")</f>
        <v>https://www.knau.org/npr-news/2024-08-09/public-health-advocates-push-olympics-to-drop-coca-cola-sponsorship</v>
      </c>
      <c r="C2327" s="2" t="s">
        <v>1538</v>
      </c>
      <c r="D2327" s="3">
        <v>45513.301562499997</v>
      </c>
      <c r="E2327" s="2" t="s">
        <v>613</v>
      </c>
    </row>
    <row r="2328" spans="1:5" ht="112" x14ac:dyDescent="0.2">
      <c r="A2328" s="2" t="s">
        <v>147</v>
      </c>
      <c r="B2328" s="2" t="str">
        <f>HYPERLINK("https://www.wglt.org/2024-08-09/public-health-advocates-push-olympics-to-drop-coca-cola-sponsorship")</f>
        <v>https://www.wglt.org/2024-08-09/public-health-advocates-push-olympics-to-drop-coca-cola-sponsorship</v>
      </c>
      <c r="C2328" s="2" t="s">
        <v>1951</v>
      </c>
      <c r="D2328" s="3">
        <v>45513.301874999997</v>
      </c>
      <c r="E2328" s="2" t="s">
        <v>554</v>
      </c>
    </row>
    <row r="2329" spans="1:5" ht="112" x14ac:dyDescent="0.2">
      <c r="A2329" s="2" t="s">
        <v>147</v>
      </c>
      <c r="B2329" s="2" t="str">
        <f>HYPERLINK("https://www.wprl.org/npr-news/2024-08-09/public-health-advocates-push-olympics-to-drop-coca-cola-sponsorship")</f>
        <v>https://www.wprl.org/npr-news/2024-08-09/public-health-advocates-push-olympics-to-drop-coca-cola-sponsorship</v>
      </c>
      <c r="C2329" s="2" t="s">
        <v>830</v>
      </c>
      <c r="D2329" s="3">
        <v>45513.301979166667</v>
      </c>
      <c r="E2329" s="2" t="s">
        <v>613</v>
      </c>
    </row>
    <row r="2330" spans="1:5" ht="84" x14ac:dyDescent="0.2">
      <c r="A2330" s="2" t="s">
        <v>147</v>
      </c>
      <c r="B2330" s="2" t="str">
        <f>HYPERLINK("https://www.kvcrnews.org/2024-08-09/public-health-advocates-push-olympics-to-drop-coca-cola-sponsorship")</f>
        <v>https://www.kvcrnews.org/2024-08-09/public-health-advocates-push-olympics-to-drop-coca-cola-sponsorship</v>
      </c>
      <c r="C2330" s="2" t="s">
        <v>1049</v>
      </c>
      <c r="D2330" s="3">
        <v>45513.302048611113</v>
      </c>
      <c r="E2330" s="2" t="s">
        <v>1050</v>
      </c>
    </row>
    <row r="2331" spans="1:5" ht="112" x14ac:dyDescent="0.2">
      <c r="A2331" s="2" t="s">
        <v>147</v>
      </c>
      <c r="B2331" s="2" t="str">
        <f>HYPERLINK("https://www.delawarepublic.org/npr-headlines/2024-08-09/public-health-advocates-push-olympics-to-drop-coca-cola-sponsorship")</f>
        <v>https://www.delawarepublic.org/npr-headlines/2024-08-09/public-health-advocates-push-olympics-to-drop-coca-cola-sponsorship</v>
      </c>
      <c r="C2331" s="2" t="s">
        <v>1449</v>
      </c>
      <c r="D2331" s="3">
        <v>45513.302060185182</v>
      </c>
      <c r="E2331" s="2" t="s">
        <v>613</v>
      </c>
    </row>
    <row r="2332" spans="1:5" ht="112" x14ac:dyDescent="0.2">
      <c r="A2332" s="2" t="s">
        <v>147</v>
      </c>
      <c r="B2332" s="2" t="str">
        <f>HYPERLINK("https://www.kunr.org/npr-news/2024-08-09/public-health-advocates-push-olympics-to-drop-coca-cola-sponsorship")</f>
        <v>https://www.kunr.org/npr-news/2024-08-09/public-health-advocates-push-olympics-to-drop-coca-cola-sponsorship</v>
      </c>
      <c r="C2332" s="2" t="s">
        <v>1574</v>
      </c>
      <c r="D2332" s="3">
        <v>45513.302071759259</v>
      </c>
      <c r="E2332" s="2" t="s">
        <v>613</v>
      </c>
    </row>
    <row r="2333" spans="1:5" ht="112" x14ac:dyDescent="0.2">
      <c r="A2333" s="2" t="s">
        <v>147</v>
      </c>
      <c r="B2333" s="2" t="str">
        <f>HYPERLINK("https://www.wdiy.org/npr-news/2024-08-09/public-health-advocates-push-olympics-to-drop-coca-cola-sponsorship")</f>
        <v>https://www.wdiy.org/npr-news/2024-08-09/public-health-advocates-push-olympics-to-drop-coca-cola-sponsorship</v>
      </c>
      <c r="C2333" s="2" t="s">
        <v>1108</v>
      </c>
      <c r="D2333" s="3">
        <v>45513.302291666667</v>
      </c>
      <c r="E2333" s="2" t="s">
        <v>613</v>
      </c>
    </row>
    <row r="2334" spans="1:5" ht="112" x14ac:dyDescent="0.2">
      <c r="A2334" s="2" t="s">
        <v>147</v>
      </c>
      <c r="B2334" s="2" t="str">
        <f>HYPERLINK("https://www.kbbi.org/npr-news/2024-08-09/public-health-advocates-push-olympics-to-drop-coca-cola-sponsorship")</f>
        <v>https://www.kbbi.org/npr-news/2024-08-09/public-health-advocates-push-olympics-to-drop-coca-cola-sponsorship</v>
      </c>
      <c r="C2334" s="2" t="s">
        <v>901</v>
      </c>
      <c r="D2334" s="3">
        <v>45513.302314814813</v>
      </c>
      <c r="E2334" s="2" t="s">
        <v>613</v>
      </c>
    </row>
    <row r="2335" spans="1:5" ht="112" x14ac:dyDescent="0.2">
      <c r="A2335" s="2" t="s">
        <v>147</v>
      </c>
      <c r="B2335" s="2" t="str">
        <f>HYPERLINK("https://www.wcsufm.org/latest-from-npr/2024-08-09/public-health-advocates-push-olympics-to-drop-coca-cola-sponsorship")</f>
        <v>https://www.wcsufm.org/latest-from-npr/2024-08-09/public-health-advocates-push-olympics-to-drop-coca-cola-sponsorship</v>
      </c>
      <c r="C2335" s="2" t="s">
        <v>717</v>
      </c>
      <c r="D2335" s="3">
        <v>45513.302800925929</v>
      </c>
      <c r="E2335" s="2" t="s">
        <v>613</v>
      </c>
    </row>
    <row r="2336" spans="1:5" ht="112" x14ac:dyDescent="0.2">
      <c r="A2336" s="2" t="s">
        <v>147</v>
      </c>
      <c r="B2336" s="2" t="str">
        <f>HYPERLINK("https://www.wvia.org/news/health/2024-08-09/public-health-advocates-push-olympics-to-drop-coca-cola-sponsorship")</f>
        <v>https://www.wvia.org/news/health/2024-08-09/public-health-advocates-push-olympics-to-drop-coca-cola-sponsorship</v>
      </c>
      <c r="C2336" s="2" t="s">
        <v>1701</v>
      </c>
      <c r="D2336" s="3">
        <v>45513.303171296298</v>
      </c>
      <c r="E2336" s="2" t="s">
        <v>613</v>
      </c>
    </row>
    <row r="2337" spans="1:5" ht="112" x14ac:dyDescent="0.2">
      <c r="A2337" s="2" t="s">
        <v>147</v>
      </c>
      <c r="B2337" s="2" t="str">
        <f>HYPERLINK("https://www.kacu.org/2024-08-09/public-health-advocates-push-olympics-to-drop-coca-cola-sponsorship")</f>
        <v>https://www.kacu.org/2024-08-09/public-health-advocates-push-olympics-to-drop-coca-cola-sponsorship</v>
      </c>
      <c r="C2337" s="2" t="s">
        <v>611</v>
      </c>
      <c r="D2337" s="3">
        <v>45513.30327546296</v>
      </c>
      <c r="E2337" s="2" t="s">
        <v>613</v>
      </c>
    </row>
    <row r="2338" spans="1:5" ht="112" x14ac:dyDescent="0.2">
      <c r="A2338" s="2" t="s">
        <v>147</v>
      </c>
      <c r="B2338" s="2" t="str">
        <f>HYPERLINK("https://www.klcc.org/npr-news/2024-08-09/public-health-advocates-push-olympics-to-drop-coca-cola-sponsorship")</f>
        <v>https://www.klcc.org/npr-news/2024-08-09/public-health-advocates-push-olympics-to-drop-coca-cola-sponsorship</v>
      </c>
      <c r="C2338" s="2" t="s">
        <v>1809</v>
      </c>
      <c r="D2338" s="3">
        <v>45513.30332175926</v>
      </c>
      <c r="E2338" s="2" t="s">
        <v>613</v>
      </c>
    </row>
    <row r="2339" spans="1:5" ht="112" x14ac:dyDescent="0.2">
      <c r="A2339" s="2" t="s">
        <v>147</v>
      </c>
      <c r="B2339" s="2" t="str">
        <f>HYPERLINK("https://fm.kuac.org/npr-news/2024-08-09/public-health-advocates-push-olympics-to-drop-coca-cola-sponsorship")</f>
        <v>https://fm.kuac.org/npr-news/2024-08-09/public-health-advocates-push-olympics-to-drop-coca-cola-sponsorship</v>
      </c>
      <c r="C2339" s="2" t="s">
        <v>882</v>
      </c>
      <c r="D2339" s="3">
        <v>45513.303379629629</v>
      </c>
      <c r="E2339" s="2" t="s">
        <v>613</v>
      </c>
    </row>
    <row r="2340" spans="1:5" ht="112" x14ac:dyDescent="0.2">
      <c r="A2340" s="2" t="s">
        <v>147</v>
      </c>
      <c r="B2340" s="2" t="str">
        <f>HYPERLINK("https://www.wxxinews.org/2024-08-09/public-health-advocates-push-olympics-to-drop-coca-cola-sponsorship")</f>
        <v>https://www.wxxinews.org/2024-08-09/public-health-advocates-push-olympics-to-drop-coca-cola-sponsorship</v>
      </c>
      <c r="C2340" s="2" t="s">
        <v>1924</v>
      </c>
      <c r="D2340" s="3">
        <v>45513.303564814807</v>
      </c>
      <c r="E2340" s="2" t="s">
        <v>613</v>
      </c>
    </row>
    <row r="2341" spans="1:5" ht="112" x14ac:dyDescent="0.2">
      <c r="A2341" s="2" t="s">
        <v>147</v>
      </c>
      <c r="B2341" s="2" t="str">
        <f>HYPERLINK("https://www.wknofm.org/2024-08-09/public-health-advocates-push-olympics-to-drop-coca-cola-sponsorship")</f>
        <v>https://www.wknofm.org/2024-08-09/public-health-advocates-push-olympics-to-drop-coca-cola-sponsorship</v>
      </c>
      <c r="C2341" s="2" t="s">
        <v>1065</v>
      </c>
      <c r="D2341" s="3">
        <v>45513.303738425922</v>
      </c>
      <c r="E2341" s="2" t="s">
        <v>613</v>
      </c>
    </row>
    <row r="2342" spans="1:5" ht="112" x14ac:dyDescent="0.2">
      <c r="A2342" s="2" t="s">
        <v>147</v>
      </c>
      <c r="B2342" s="2" t="str">
        <f>HYPERLINK("https://www.weaa.org/2024-08-09/public-health-advocates-push-olympics-to-drop-coca-cola-sponsorship")</f>
        <v>https://www.weaa.org/2024-08-09/public-health-advocates-push-olympics-to-drop-coca-cola-sponsorship</v>
      </c>
      <c r="C2342" s="2" t="s">
        <v>939</v>
      </c>
      <c r="D2342" s="3">
        <v>45513.303900462961</v>
      </c>
      <c r="E2342" s="2" t="s">
        <v>613</v>
      </c>
    </row>
    <row r="2343" spans="1:5" ht="112" x14ac:dyDescent="0.2">
      <c r="A2343" s="2" t="s">
        <v>147</v>
      </c>
      <c r="B2343" s="2" t="str">
        <f>HYPERLINK("https://www.kpbs.org/news/health/2024/08/09/public-health-advocates-push-olympics-to-drop-coca-cola-sponsorship")</f>
        <v>https://www.kpbs.org/news/health/2024/08/09/public-health-advocates-push-olympics-to-drop-coca-cola-sponsorship</v>
      </c>
      <c r="C2343" s="2" t="s">
        <v>2609</v>
      </c>
      <c r="D2343" s="3">
        <v>45513.304537037038</v>
      </c>
      <c r="E2343" s="2" t="s">
        <v>1147</v>
      </c>
    </row>
    <row r="2344" spans="1:5" ht="112" x14ac:dyDescent="0.2">
      <c r="A2344" s="2" t="s">
        <v>147</v>
      </c>
      <c r="B2344" s="2" t="str">
        <f>HYPERLINK("https://www.npr.org/sections/shots-health-news/2024/08/09/nx-s1-5068712/olympics-coke-coca-cola-sponsorship-public-health")</f>
        <v>https://www.npr.org/sections/shots-health-news/2024/08/09/nx-s1-5068712/olympics-coke-coca-cola-sponsorship-public-health</v>
      </c>
      <c r="C2344" s="2" t="s">
        <v>3631</v>
      </c>
      <c r="D2344" s="3">
        <v>45513.307488425933</v>
      </c>
      <c r="E2344" s="2" t="s">
        <v>554</v>
      </c>
    </row>
    <row r="2345" spans="1:5" ht="112" x14ac:dyDescent="0.2">
      <c r="A2345" s="2" t="s">
        <v>147</v>
      </c>
      <c r="B2345" s="2" t="str">
        <f>HYPERLINK("https://www.northernpublicradio.org/2024-08-09/public-health-advocates-push-olympics-to-drop-coca-cola-sponsorship")</f>
        <v>https://www.northernpublicradio.org/2024-08-09/public-health-advocates-push-olympics-to-drop-coca-cola-sponsorship</v>
      </c>
      <c r="C2345" s="2" t="s">
        <v>1550</v>
      </c>
      <c r="D2345" s="3">
        <v>45513.309629629628</v>
      </c>
      <c r="E2345" s="2" t="s">
        <v>613</v>
      </c>
    </row>
    <row r="2346" spans="1:5" ht="112" x14ac:dyDescent="0.2">
      <c r="A2346" s="2" t="s">
        <v>147</v>
      </c>
      <c r="B2346" s="2" t="str">
        <f>HYPERLINK("https://www.wwno.org/npr-news/2024-08-09/public-health-advocates-push-olympics-to-drop-coca-cola-sponsorship")</f>
        <v>https://www.wwno.org/npr-news/2024-08-09/public-health-advocates-push-olympics-to-drop-coca-cola-sponsorship</v>
      </c>
      <c r="C2346" s="2" t="s">
        <v>1623</v>
      </c>
      <c r="D2346" s="3">
        <v>45513.309942129628</v>
      </c>
      <c r="E2346" s="2" t="s">
        <v>613</v>
      </c>
    </row>
    <row r="2347" spans="1:5" ht="112" x14ac:dyDescent="0.2">
      <c r="A2347" s="2" t="s">
        <v>501</v>
      </c>
      <c r="B2347" s="2" t="str">
        <f>HYPERLINK("https://wdcnews6.com/public-health-advocates-push-olympics-to-drop-coca-cola-sponsorship-shots/")</f>
        <v>https://wdcnews6.com/public-health-advocates-push-olympics-to-drop-coca-cola-sponsorship-shots/</v>
      </c>
      <c r="C2347" s="2" t="s">
        <v>541</v>
      </c>
      <c r="D2347" s="3">
        <v>45513.310300925928</v>
      </c>
      <c r="E2347" s="2" t="s">
        <v>544</v>
      </c>
    </row>
    <row r="2348" spans="1:5" ht="112" x14ac:dyDescent="0.2">
      <c r="A2348" s="2" t="s">
        <v>147</v>
      </c>
      <c r="B2348" s="2" t="str">
        <f>HYPERLINK("https://www.kdlg.org/as-heard-on-npr/2024-08-09/public-health-advocates-push-olympics-to-drop-coca-cola-sponsorship")</f>
        <v>https://www.kdlg.org/as-heard-on-npr/2024-08-09/public-health-advocates-push-olympics-to-drop-coca-cola-sponsorship</v>
      </c>
      <c r="C2348" s="2" t="s">
        <v>1008</v>
      </c>
      <c r="D2348" s="3">
        <v>45513.31045138889</v>
      </c>
      <c r="E2348" s="2" t="s">
        <v>613</v>
      </c>
    </row>
    <row r="2349" spans="1:5" ht="112" x14ac:dyDescent="0.2">
      <c r="A2349" s="2" t="s">
        <v>147</v>
      </c>
      <c r="B2349" s="2" t="str">
        <f>HYPERLINK("https://www.kpcw.org/npr-news/2024-08-09/public-health-advocates-push-olympics-to-drop-coca-cola-sponsorship")</f>
        <v>https://www.kpcw.org/npr-news/2024-08-09/public-health-advocates-push-olympics-to-drop-coca-cola-sponsorship</v>
      </c>
      <c r="C2349" s="2" t="s">
        <v>2067</v>
      </c>
      <c r="D2349" s="3">
        <v>45513.311157407406</v>
      </c>
      <c r="E2349" s="2" t="s">
        <v>613</v>
      </c>
    </row>
    <row r="2350" spans="1:5" ht="112" x14ac:dyDescent="0.2">
      <c r="A2350" s="2" t="s">
        <v>147</v>
      </c>
      <c r="B2350" s="2" t="str">
        <f>HYPERLINK("https://www.lakeshorepublicmedia.org/npr-news/2024-08-09/public-health-advocates-push-olympics-to-drop-coca-cola-sponsorship")</f>
        <v>https://www.lakeshorepublicmedia.org/npr-news/2024-08-09/public-health-advocates-push-olympics-to-drop-coca-cola-sponsorship</v>
      </c>
      <c r="C2350" s="2" t="s">
        <v>1238</v>
      </c>
      <c r="D2350" s="3">
        <v>45513.311585648153</v>
      </c>
      <c r="E2350" s="2" t="s">
        <v>613</v>
      </c>
    </row>
    <row r="2351" spans="1:5" ht="112" x14ac:dyDescent="0.2">
      <c r="A2351" s="2" t="s">
        <v>147</v>
      </c>
      <c r="B2351" s="2" t="str">
        <f>HYPERLINK("https://www.mtpr.org/2024-08-09/public-health-advocates-push-olympics-to-drop-coca-cola-sponsorship")</f>
        <v>https://www.mtpr.org/2024-08-09/public-health-advocates-push-olympics-to-drop-coca-cola-sponsorship</v>
      </c>
      <c r="C2351" s="2" t="s">
        <v>1846</v>
      </c>
      <c r="D2351" s="3">
        <v>45513.311585648153</v>
      </c>
      <c r="E2351" s="2" t="s">
        <v>613</v>
      </c>
    </row>
    <row r="2352" spans="1:5" ht="112" x14ac:dyDescent="0.2">
      <c r="A2352" s="2" t="s">
        <v>147</v>
      </c>
      <c r="B2352" s="2" t="str">
        <f>HYPERLINK("https://www.kazu.org/npr-news/2024-08-09/public-health-advocates-push-olympics-to-drop-coca-cola-sponsorship")</f>
        <v>https://www.kazu.org/npr-news/2024-08-09/public-health-advocates-push-olympics-to-drop-coca-cola-sponsorship</v>
      </c>
      <c r="C2352" s="2" t="s">
        <v>1248</v>
      </c>
      <c r="D2352" s="3">
        <v>45513.311701388891</v>
      </c>
      <c r="E2352" s="2" t="s">
        <v>613</v>
      </c>
    </row>
    <row r="2353" spans="1:5" ht="112" x14ac:dyDescent="0.2">
      <c r="A2353" s="2" t="s">
        <v>147</v>
      </c>
      <c r="B2353" s="2" t="str">
        <f>HYPERLINK("https://www.wcbe.org/npr-news/2024-08-09/public-health-advocates-push-olympics-to-drop-coca-cola-sponsorship")</f>
        <v>https://www.wcbe.org/npr-news/2024-08-09/public-health-advocates-push-olympics-to-drop-coca-cola-sponsorship</v>
      </c>
      <c r="C2353" s="2" t="s">
        <v>1153</v>
      </c>
      <c r="D2353" s="3">
        <v>45513.311898148153</v>
      </c>
      <c r="E2353" s="2" t="s">
        <v>613</v>
      </c>
    </row>
    <row r="2354" spans="1:5" ht="112" x14ac:dyDescent="0.2">
      <c r="A2354" s="2" t="s">
        <v>147</v>
      </c>
      <c r="B2354" s="2" t="str">
        <f>HYPERLINK("https://news.wfsu.org/all-npr-news/2024-08-09/public-health-advocates-push-olympics-to-drop-coca-cola-sponsorship")</f>
        <v>https://news.wfsu.org/all-npr-news/2024-08-09/public-health-advocates-push-olympics-to-drop-coca-cola-sponsorship</v>
      </c>
      <c r="C2354" s="2" t="s">
        <v>1707</v>
      </c>
      <c r="D2354" s="3">
        <v>45513.311921296299</v>
      </c>
      <c r="E2354" s="2" t="s">
        <v>613</v>
      </c>
    </row>
    <row r="2355" spans="1:5" ht="112" x14ac:dyDescent="0.2">
      <c r="A2355" s="2" t="s">
        <v>147</v>
      </c>
      <c r="B2355" s="2" t="str">
        <f>HYPERLINK("https://www.kunm.org/npr-news/2024-08-09/public-health-advocates-push-olympics-to-drop-coca-cola-sponsorship")</f>
        <v>https://www.kunm.org/npr-news/2024-08-09/public-health-advocates-push-olympics-to-drop-coca-cola-sponsorship</v>
      </c>
      <c r="C2355" s="2" t="s">
        <v>1553</v>
      </c>
      <c r="D2355" s="3">
        <v>45513.312407407408</v>
      </c>
      <c r="E2355" s="2" t="s">
        <v>613</v>
      </c>
    </row>
    <row r="2356" spans="1:5" ht="112" x14ac:dyDescent="0.2">
      <c r="A2356" s="2" t="s">
        <v>147</v>
      </c>
      <c r="B2356" s="2" t="str">
        <f>HYPERLINK("https://www.kunc.org/npr-news/2024-08-09/public-health-advocates-push-olympics-to-drop-coca-cola-sponsorship")</f>
        <v>https://www.kunc.org/npr-news/2024-08-09/public-health-advocates-push-olympics-to-drop-coca-cola-sponsorship</v>
      </c>
      <c r="C2356" s="2" t="s">
        <v>1691</v>
      </c>
      <c r="D2356" s="3">
        <v>45513.312881944446</v>
      </c>
      <c r="E2356" s="2" t="s">
        <v>613</v>
      </c>
    </row>
    <row r="2357" spans="1:5" ht="112" x14ac:dyDescent="0.2">
      <c r="A2357" s="2" t="s">
        <v>501</v>
      </c>
      <c r="B2357" s="2" t="str">
        <f>HYPERLINK("https://wdctv.news/public-health-advocates-push-olympics-to-drop-coca-cola-sponsorship-shots/")</f>
        <v>https://wdctv.news/public-health-advocates-push-olympics-to-drop-coca-cola-sponsorship-shots/</v>
      </c>
      <c r="C2357" s="2" t="s">
        <v>346</v>
      </c>
      <c r="D2357" s="3">
        <v>45513.314004629632</v>
      </c>
      <c r="E2357" s="2" t="s">
        <v>502</v>
      </c>
    </row>
    <row r="2358" spans="1:5" ht="112" x14ac:dyDescent="0.2">
      <c r="A2358" s="2" t="s">
        <v>147</v>
      </c>
      <c r="B2358" s="2" t="str">
        <f>HYPERLINK("https://www.kgou.org/health/2024-08-09/public-health-advocates-push-olympics-to-drop-coca-cola-sponsorship")</f>
        <v>https://www.kgou.org/health/2024-08-09/public-health-advocates-push-olympics-to-drop-coca-cola-sponsorship</v>
      </c>
      <c r="C2358" s="2" t="s">
        <v>1316</v>
      </c>
      <c r="D2358" s="3">
        <v>45513.314004629632</v>
      </c>
      <c r="E2358" s="2" t="s">
        <v>613</v>
      </c>
    </row>
    <row r="2359" spans="1:5" ht="112" x14ac:dyDescent="0.2">
      <c r="A2359" s="2" t="s">
        <v>147</v>
      </c>
      <c r="B2359" s="2" t="str">
        <f>HYPERLINK("https://www.wsiu.org/2024-08-09/public-health-advocates-push-olympics-to-drop-coca-cola-sponsorship")</f>
        <v>https://www.wsiu.org/2024-08-09/public-health-advocates-push-olympics-to-drop-coca-cola-sponsorship</v>
      </c>
      <c r="C2359" s="2" t="s">
        <v>1243</v>
      </c>
      <c r="D2359" s="3">
        <v>45513.314259259263</v>
      </c>
      <c r="E2359" s="2" t="s">
        <v>613</v>
      </c>
    </row>
    <row r="2360" spans="1:5" ht="112" x14ac:dyDescent="0.2">
      <c r="A2360" s="2" t="s">
        <v>147</v>
      </c>
      <c r="B2360" s="2" t="str">
        <f>HYPERLINK("https://www.wutc.org/2024-08-09/public-health-advocates-push-olympics-to-drop-coca-cola-sponsorship")</f>
        <v>https://www.wutc.org/2024-08-09/public-health-advocates-push-olympics-to-drop-coca-cola-sponsorship</v>
      </c>
      <c r="C2360" s="2" t="s">
        <v>1005</v>
      </c>
      <c r="D2360" s="3">
        <v>45513.314641203702</v>
      </c>
      <c r="E2360" s="2" t="s">
        <v>613</v>
      </c>
    </row>
    <row r="2361" spans="1:5" ht="112" x14ac:dyDescent="0.2">
      <c r="A2361" s="2" t="s">
        <v>147</v>
      </c>
      <c r="B2361" s="2" t="str">
        <f>HYPERLINK("https://www.wbaa.org/2024-08-09/public-health-advocates-push-olympics-to-drop-coca-cola-sponsorship")</f>
        <v>https://www.wbaa.org/2024-08-09/public-health-advocates-push-olympics-to-drop-coca-cola-sponsorship</v>
      </c>
      <c r="C2361" s="2" t="s">
        <v>997</v>
      </c>
      <c r="D2361" s="3">
        <v>45513.314756944441</v>
      </c>
      <c r="E2361" s="2" t="s">
        <v>613</v>
      </c>
    </row>
    <row r="2362" spans="1:5" ht="112" x14ac:dyDescent="0.2">
      <c r="A2362" s="2" t="s">
        <v>147</v>
      </c>
      <c r="B2362" s="2" t="str">
        <f>HYPERLINK("https://www.gpb.org/news/shots-health-news/2024/08/09/public-health-advocates-push-olympics-drop-coca-cola-sponsorship")</f>
        <v>https://www.gpb.org/news/shots-health-news/2024/08/09/public-health-advocates-push-olympics-drop-coca-cola-sponsorship</v>
      </c>
      <c r="C2362" s="2" t="s">
        <v>2512</v>
      </c>
      <c r="D2362" s="3">
        <v>45513.314942129633</v>
      </c>
      <c r="E2362" s="2" t="s">
        <v>554</v>
      </c>
    </row>
    <row r="2363" spans="1:5" ht="112" x14ac:dyDescent="0.2">
      <c r="A2363" s="2" t="s">
        <v>147</v>
      </c>
      <c r="B2363" s="2" t="str">
        <f>HYPERLINK("https://knpr.org/npr/2024-08-09/public-health-advocates-push-olympics-to-drop-coca-cola-sponsorship")</f>
        <v>https://knpr.org/npr/2024-08-09/public-health-advocates-push-olympics-to-drop-coca-cola-sponsorship</v>
      </c>
      <c r="C2363" s="2" t="s">
        <v>1724</v>
      </c>
      <c r="D2363" s="3">
        <v>45513.314988425933</v>
      </c>
      <c r="E2363" s="2" t="s">
        <v>613</v>
      </c>
    </row>
    <row r="2364" spans="1:5" ht="112" x14ac:dyDescent="0.2">
      <c r="A2364" s="2" t="s">
        <v>147</v>
      </c>
      <c r="B2364" s="2" t="str">
        <f>HYPERLINK("https://www.nprillinois.org/2024-08-09/public-health-advocates-push-olympics-to-drop-coca-cola-sponsorship")</f>
        <v>https://www.nprillinois.org/2024-08-09/public-health-advocates-push-olympics-to-drop-coca-cola-sponsorship</v>
      </c>
      <c r="C2364" s="2" t="s">
        <v>1834</v>
      </c>
      <c r="D2364" s="3">
        <v>45513.315162037034</v>
      </c>
      <c r="E2364" s="2" t="s">
        <v>1147</v>
      </c>
    </row>
    <row r="2365" spans="1:5" ht="112" x14ac:dyDescent="0.2">
      <c r="A2365" s="2" t="s">
        <v>147</v>
      </c>
      <c r="B2365" s="2" t="str">
        <f>HYPERLINK("https://www.kvnf.org/npr-news/2024-08-09/public-health-advocates-push-olympics-to-drop-coca-cola-sponsorship")</f>
        <v>https://www.kvnf.org/npr-news/2024-08-09/public-health-advocates-push-olympics-to-drop-coca-cola-sponsorship</v>
      </c>
      <c r="C2365" s="2" t="s">
        <v>910</v>
      </c>
      <c r="D2365" s="3">
        <v>45513.315520833326</v>
      </c>
      <c r="E2365" s="2" t="s">
        <v>613</v>
      </c>
    </row>
    <row r="2366" spans="1:5" ht="112" x14ac:dyDescent="0.2">
      <c r="A2366" s="2" t="s">
        <v>147</v>
      </c>
      <c r="B2366" s="2" t="str">
        <f>HYPERLINK("https://www.kwbu.org/latest-from-npr/2024-08-09/public-health-advocates-push-olympics-to-drop-coca-cola-sponsorship")</f>
        <v>https://www.kwbu.org/latest-from-npr/2024-08-09/public-health-advocates-push-olympics-to-drop-coca-cola-sponsorship</v>
      </c>
      <c r="C2366" s="2" t="s">
        <v>872</v>
      </c>
      <c r="D2366" s="3">
        <v>45513.315636574072</v>
      </c>
      <c r="E2366" s="2" t="s">
        <v>613</v>
      </c>
    </row>
    <row r="2367" spans="1:5" ht="112" x14ac:dyDescent="0.2">
      <c r="A2367" s="2" t="s">
        <v>147</v>
      </c>
      <c r="B2367" s="2" t="str">
        <f>HYPERLINK("https://www.ketr.org/2024-08-09/public-health-advocates-push-olympics-to-drop-coca-cola-sponsorship")</f>
        <v>https://www.ketr.org/2024-08-09/public-health-advocates-push-olympics-to-drop-coca-cola-sponsorship</v>
      </c>
      <c r="C2367" s="2" t="s">
        <v>1131</v>
      </c>
      <c r="D2367" s="3">
        <v>45513.315659722219</v>
      </c>
      <c r="E2367" s="2" t="s">
        <v>613</v>
      </c>
    </row>
    <row r="2368" spans="1:5" ht="112" x14ac:dyDescent="0.2">
      <c r="A2368" s="2" t="s">
        <v>147</v>
      </c>
      <c r="B2368" s="2" t="str">
        <f>HYPERLINK("https://www.delmarvapublicmedia.org/2024-08-09/public-health-advocates-push-olympics-to-drop-coca-cola-sponsorship")</f>
        <v>https://www.delmarvapublicmedia.org/2024-08-09/public-health-advocates-push-olympics-to-drop-coca-cola-sponsorship</v>
      </c>
      <c r="C2368" s="2" t="s">
        <v>719</v>
      </c>
      <c r="D2368" s="3">
        <v>45513.31590277778</v>
      </c>
      <c r="E2368" s="2" t="s">
        <v>613</v>
      </c>
    </row>
    <row r="2369" spans="1:5" ht="112" x14ac:dyDescent="0.2">
      <c r="A2369" s="2" t="s">
        <v>147</v>
      </c>
      <c r="B2369" s="2" t="str">
        <f>HYPERLINK("https://www.wkyufm.org/news/2024-08-09/public-health-advocates-push-olympics-to-drop-coca-cola-sponsorship")</f>
        <v>https://www.wkyufm.org/news/2024-08-09/public-health-advocates-push-olympics-to-drop-coca-cola-sponsorship</v>
      </c>
      <c r="C2369" s="2" t="s">
        <v>1146</v>
      </c>
      <c r="D2369" s="3">
        <v>45513.316111111111</v>
      </c>
      <c r="E2369" s="2" t="s">
        <v>1147</v>
      </c>
    </row>
    <row r="2370" spans="1:5" ht="112" x14ac:dyDescent="0.2">
      <c r="A2370" s="2" t="s">
        <v>147</v>
      </c>
      <c r="B2370" s="2" t="str">
        <f>HYPERLINK("https://www.ideastream.org/2024-08-09/public-health-advocates-push-olympics-to-drop-coca-cola-sponsorship")</f>
        <v>https://www.ideastream.org/2024-08-09/public-health-advocates-push-olympics-to-drop-coca-cola-sponsorship</v>
      </c>
      <c r="C2370" s="2" t="s">
        <v>2187</v>
      </c>
      <c r="D2370" s="3">
        <v>45513.316365740742</v>
      </c>
      <c r="E2370" s="2" t="s">
        <v>613</v>
      </c>
    </row>
    <row r="2371" spans="1:5" ht="112" x14ac:dyDescent="0.2">
      <c r="A2371" s="2" t="s">
        <v>147</v>
      </c>
      <c r="B2371" s="2" t="str">
        <f>HYPERLINK("https://www.publicradiotulsa.org/npr-national-news/2024-08-09/public-health-advocates-push-olympics-to-drop-coca-cola-sponsorship")</f>
        <v>https://www.publicradiotulsa.org/npr-national-news/2024-08-09/public-health-advocates-push-olympics-to-drop-coca-cola-sponsorship</v>
      </c>
      <c r="C2371" s="2" t="s">
        <v>1589</v>
      </c>
      <c r="D2371" s="3">
        <v>45513.317060185182</v>
      </c>
      <c r="E2371" s="2" t="s">
        <v>613</v>
      </c>
    </row>
    <row r="2372" spans="1:5" ht="112" x14ac:dyDescent="0.2">
      <c r="A2372" s="2" t="s">
        <v>147</v>
      </c>
      <c r="B2372" s="2" t="str">
        <f>HYPERLINK("https://www.krwg.org/health/2024-08-09/public-health-advocates-push-olympics-to-drop-coca-cola-sponsorship")</f>
        <v>https://www.krwg.org/health/2024-08-09/public-health-advocates-push-olympics-to-drop-coca-cola-sponsorship</v>
      </c>
      <c r="C2372" s="2" t="s">
        <v>1254</v>
      </c>
      <c r="D2372" s="3">
        <v>45513.317407407398</v>
      </c>
      <c r="E2372" s="2" t="s">
        <v>613</v>
      </c>
    </row>
    <row r="2373" spans="1:5" ht="112" x14ac:dyDescent="0.2">
      <c r="A2373" s="2" t="s">
        <v>147</v>
      </c>
      <c r="B2373" s="2" t="str">
        <f>HYPERLINK("https://www.wlrn.org/npr-breaking-news/2024-08-09/public-health-advocates-push-olympics-to-drop-coca-cola-sponsorship")</f>
        <v>https://www.wlrn.org/npr-breaking-news/2024-08-09/public-health-advocates-push-olympics-to-drop-coca-cola-sponsorship</v>
      </c>
      <c r="C2373" s="2" t="s">
        <v>2277</v>
      </c>
      <c r="D2373" s="3">
        <v>45513.319791666669</v>
      </c>
      <c r="E2373" s="2" t="s">
        <v>613</v>
      </c>
    </row>
    <row r="2374" spans="1:5" ht="112" x14ac:dyDescent="0.2">
      <c r="A2374" s="2" t="s">
        <v>147</v>
      </c>
      <c r="B2374" s="2" t="str">
        <f>HYPERLINK("https://www.ctpublic.org/2024-08-09/public-health-advocates-push-olympics-to-drop-coca-cola-sponsorship")</f>
        <v>https://www.ctpublic.org/2024-08-09/public-health-advocates-push-olympics-to-drop-coca-cola-sponsorship</v>
      </c>
      <c r="C2374" s="2" t="s">
        <v>2085</v>
      </c>
      <c r="D2374" s="3">
        <v>45513.322881944441</v>
      </c>
      <c r="E2374" s="2" t="s">
        <v>613</v>
      </c>
    </row>
    <row r="2375" spans="1:5" ht="112" x14ac:dyDescent="0.2">
      <c r="A2375" s="2" t="s">
        <v>147</v>
      </c>
      <c r="B2375" s="2" t="str">
        <f>HYPERLINK("https://www.wboi.org/npr-news/2024-08-09/public-health-advocates-push-olympics-to-drop-coca-cola-sponsorship")</f>
        <v>https://www.wboi.org/npr-news/2024-08-09/public-health-advocates-push-olympics-to-drop-coca-cola-sponsorship</v>
      </c>
      <c r="C2375" s="2" t="s">
        <v>1220</v>
      </c>
      <c r="D2375" s="3">
        <v>45513.32303240741</v>
      </c>
      <c r="E2375" s="2" t="s">
        <v>613</v>
      </c>
    </row>
    <row r="2376" spans="1:5" ht="112" x14ac:dyDescent="0.2">
      <c r="A2376" s="2" t="s">
        <v>147</v>
      </c>
      <c r="B2376" s="2" t="str">
        <f>HYPERLINK("https://www.ypradio.org/npr-news/2024-08-09/public-health-advocates-push-olympics-to-drop-coca-cola-sponsorship")</f>
        <v>https://www.ypradio.org/npr-news/2024-08-09/public-health-advocates-push-olympics-to-drop-coca-cola-sponsorship</v>
      </c>
      <c r="C2376" s="2" t="s">
        <v>1225</v>
      </c>
      <c r="D2376" s="3">
        <v>45513.323206018518</v>
      </c>
      <c r="E2376" s="2" t="s">
        <v>613</v>
      </c>
    </row>
    <row r="2377" spans="1:5" ht="112" x14ac:dyDescent="0.2">
      <c r="A2377" s="2" t="s">
        <v>147</v>
      </c>
      <c r="B2377" s="2" t="str">
        <f>HYPERLINK("https://www.wuot.org/2024-08-09/public-health-advocates-push-olympics-to-drop-coca-cola-sponsorship")</f>
        <v>https://www.wuot.org/2024-08-09/public-health-advocates-push-olympics-to-drop-coca-cola-sponsorship</v>
      </c>
      <c r="C2377" s="2" t="s">
        <v>941</v>
      </c>
      <c r="D2377" s="3">
        <v>45513.323275462957</v>
      </c>
      <c r="E2377" s="2" t="s">
        <v>613</v>
      </c>
    </row>
    <row r="2378" spans="1:5" ht="112" x14ac:dyDescent="0.2">
      <c r="A2378" s="2" t="s">
        <v>147</v>
      </c>
      <c r="B2378" s="2" t="str">
        <f>HYPERLINK("https://www.wunc.org/2024-08-09/public-health-advocates-push-olympics-to-drop-coca-cola-sponsorship")</f>
        <v>https://www.wunc.org/2024-08-09/public-health-advocates-push-olympics-to-drop-coca-cola-sponsorship</v>
      </c>
      <c r="C2378" s="2" t="s">
        <v>2297</v>
      </c>
      <c r="D2378" s="3">
        <v>45513.323310185187</v>
      </c>
      <c r="E2378" s="2" t="s">
        <v>613</v>
      </c>
    </row>
    <row r="2379" spans="1:5" ht="112" x14ac:dyDescent="0.2">
      <c r="A2379" s="2" t="s">
        <v>147</v>
      </c>
      <c r="B2379" s="2" t="str">
        <f>HYPERLINK("https://www.wvik.org/2024-08-09/public-health-advocates-push-olympics-to-drop-coca-cola-sponsorship")</f>
        <v>https://www.wvik.org/2024-08-09/public-health-advocates-push-olympics-to-drop-coca-cola-sponsorship</v>
      </c>
      <c r="C2379" s="2" t="s">
        <v>1051</v>
      </c>
      <c r="D2379" s="3">
        <v>45513.32340277778</v>
      </c>
      <c r="E2379" s="2" t="s">
        <v>613</v>
      </c>
    </row>
    <row r="2380" spans="1:5" ht="112" x14ac:dyDescent="0.2">
      <c r="A2380" s="2" t="s">
        <v>147</v>
      </c>
      <c r="B2380" s="2" t="str">
        <f>HYPERLINK("https://www.kuaf.com/npr-news/2024-08-09/public-health-advocates-push-olympics-to-drop-coca-cola-sponsorship")</f>
        <v>https://www.kuaf.com/npr-news/2024-08-09/public-health-advocates-push-olympics-to-drop-coca-cola-sponsorship</v>
      </c>
      <c r="C2380" s="2" t="s">
        <v>1473</v>
      </c>
      <c r="D2380" s="3">
        <v>45513.323611111111</v>
      </c>
      <c r="E2380" s="2" t="s">
        <v>613</v>
      </c>
    </row>
    <row r="2381" spans="1:5" ht="112" x14ac:dyDescent="0.2">
      <c r="A2381" s="2" t="s">
        <v>147</v>
      </c>
      <c r="B2381" s="2" t="str">
        <f>HYPERLINK("https://www.wvxu.org/news-from-npr/2024-08-09/public-health-advocates-push-olympics-to-drop-coca-cola-sponsorship")</f>
        <v>https://www.wvxu.org/news-from-npr/2024-08-09/public-health-advocates-push-olympics-to-drop-coca-cola-sponsorship</v>
      </c>
      <c r="C2381" s="2" t="s">
        <v>2134</v>
      </c>
      <c r="D2381" s="3">
        <v>45513.323807870373</v>
      </c>
      <c r="E2381" s="2" t="s">
        <v>613</v>
      </c>
    </row>
    <row r="2382" spans="1:5" ht="112" x14ac:dyDescent="0.2">
      <c r="A2382" s="2" t="s">
        <v>147</v>
      </c>
      <c r="B2382" s="2" t="str">
        <f>HYPERLINK("https://www.wrvo.org/2024-08-09/public-health-advocates-push-olympics-to-drop-coca-cola-sponsorship")</f>
        <v>https://www.wrvo.org/2024-08-09/public-health-advocates-push-olympics-to-drop-coca-cola-sponsorship</v>
      </c>
      <c r="C2382" s="2" t="s">
        <v>1419</v>
      </c>
      <c r="D2382" s="3">
        <v>45513.323877314811</v>
      </c>
      <c r="E2382" s="2" t="s">
        <v>613</v>
      </c>
    </row>
    <row r="2383" spans="1:5" ht="112" x14ac:dyDescent="0.2">
      <c r="A2383" s="2" t="s">
        <v>147</v>
      </c>
      <c r="B2383" s="2" t="str">
        <f>HYPERLINK("https://www.kenw.org/npr-news/2024-08-09/public-health-advocates-push-olympics-to-drop-coca-cola-sponsorship")</f>
        <v>https://www.kenw.org/npr-news/2024-08-09/public-health-advocates-push-olympics-to-drop-coca-cola-sponsorship</v>
      </c>
      <c r="C2383" s="2" t="s">
        <v>732</v>
      </c>
      <c r="D2383" s="3">
        <v>45513.323912037027</v>
      </c>
      <c r="E2383" s="2" t="s">
        <v>613</v>
      </c>
    </row>
    <row r="2384" spans="1:5" ht="112" x14ac:dyDescent="0.2">
      <c r="A2384" s="2" t="s">
        <v>147</v>
      </c>
      <c r="B2384" s="2" t="str">
        <f>HYPERLINK("https://www.cfpublic.org/2024-08-09/public-health-advocates-push-olympics-to-drop-coca-cola-sponsorship")</f>
        <v>https://www.cfpublic.org/2024-08-09/public-health-advocates-push-olympics-to-drop-coca-cola-sponsorship</v>
      </c>
      <c r="C2384" s="2" t="s">
        <v>1472</v>
      </c>
      <c r="D2384" s="3">
        <v>45513.323969907397</v>
      </c>
      <c r="E2384" s="2" t="s">
        <v>613</v>
      </c>
    </row>
    <row r="2385" spans="1:5" ht="112" x14ac:dyDescent="0.2">
      <c r="A2385" s="2" t="s">
        <v>147</v>
      </c>
      <c r="B2385" s="2" t="str">
        <f>HYPERLINK("https://www.wvasfm.org/2024-08-09/public-health-advocates-push-olympics-to-drop-coca-cola-sponsorship")</f>
        <v>https://www.wvasfm.org/2024-08-09/public-health-advocates-push-olympics-to-drop-coca-cola-sponsorship</v>
      </c>
      <c r="C2385" s="2" t="s">
        <v>699</v>
      </c>
      <c r="D2385" s="3">
        <v>45513.324155092603</v>
      </c>
      <c r="E2385" s="2" t="s">
        <v>613</v>
      </c>
    </row>
    <row r="2386" spans="1:5" ht="112" x14ac:dyDescent="0.2">
      <c r="A2386" s="2" t="s">
        <v>147</v>
      </c>
      <c r="B2386" s="2" t="str">
        <f>HYPERLINK("https://www.wkms.org/npr-news/2024-08-09/public-health-advocates-push-olympics-to-drop-coca-cola-sponsorship")</f>
        <v>https://www.wkms.org/npr-news/2024-08-09/public-health-advocates-push-olympics-to-drop-coca-cola-sponsorship</v>
      </c>
      <c r="C2386" s="2" t="s">
        <v>1294</v>
      </c>
      <c r="D2386" s="3">
        <v>45513.324386574073</v>
      </c>
      <c r="E2386" s="2" t="s">
        <v>613</v>
      </c>
    </row>
    <row r="2387" spans="1:5" ht="112" x14ac:dyDescent="0.2">
      <c r="A2387" s="2" t="s">
        <v>147</v>
      </c>
      <c r="B2387" s="2" t="str">
        <f>HYPERLINK("https://www.wxpr.org/2024-08-09/public-health-advocates-push-olympics-to-drop-coca-cola-sponsorship")</f>
        <v>https://www.wxpr.org/2024-08-09/public-health-advocates-push-olympics-to-drop-coca-cola-sponsorship</v>
      </c>
      <c r="C2387" s="2" t="s">
        <v>1493</v>
      </c>
      <c r="D2387" s="3">
        <v>45513.32476851852</v>
      </c>
      <c r="E2387" s="2" t="s">
        <v>613</v>
      </c>
    </row>
    <row r="2388" spans="1:5" ht="112" x14ac:dyDescent="0.2">
      <c r="A2388" s="2" t="s">
        <v>147</v>
      </c>
      <c r="B2388" s="2" t="str">
        <f>HYPERLINK("https://www.wuga.org/2024-08-09/public-health-advocates-push-olympics-to-drop-coca-cola-sponsorship")</f>
        <v>https://www.wuga.org/2024-08-09/public-health-advocates-push-olympics-to-drop-coca-cola-sponsorship</v>
      </c>
      <c r="C2388" s="2" t="s">
        <v>1113</v>
      </c>
      <c r="D2388" s="3">
        <v>45513.324849537043</v>
      </c>
      <c r="E2388" s="2" t="s">
        <v>613</v>
      </c>
    </row>
    <row r="2389" spans="1:5" ht="112" x14ac:dyDescent="0.2">
      <c r="A2389" s="2" t="s">
        <v>147</v>
      </c>
      <c r="B2389" s="2" t="str">
        <f>HYPERLINK("https://www.krvs.org/npr-news/2024-08-09/public-health-advocates-push-olympics-to-drop-coca-cola-sponsorship")</f>
        <v>https://www.krvs.org/npr-news/2024-08-09/public-health-advocates-push-olympics-to-drop-coca-cola-sponsorship</v>
      </c>
      <c r="C2389" s="2" t="s">
        <v>867</v>
      </c>
      <c r="D2389" s="3">
        <v>45513.32508101852</v>
      </c>
      <c r="E2389" s="2" t="s">
        <v>613</v>
      </c>
    </row>
    <row r="2390" spans="1:5" ht="112" x14ac:dyDescent="0.2">
      <c r="A2390" s="2" t="s">
        <v>147</v>
      </c>
      <c r="B2390" s="2" t="str">
        <f>HYPERLINK("https://www.wyomingpublicmedia.org/2024-08-09/public-health-advocates-push-olympics-to-drop-coca-cola-sponsorship")</f>
        <v>https://www.wyomingpublicmedia.org/2024-08-09/public-health-advocates-push-olympics-to-drop-coca-cola-sponsorship</v>
      </c>
      <c r="C2390" s="2" t="s">
        <v>1820</v>
      </c>
      <c r="D2390" s="3">
        <v>45513.325486111113</v>
      </c>
      <c r="E2390" s="2" t="s">
        <v>613</v>
      </c>
    </row>
    <row r="2391" spans="1:5" ht="112" x14ac:dyDescent="0.2">
      <c r="A2391" s="2" t="s">
        <v>147</v>
      </c>
      <c r="B2391" s="2" t="str">
        <f>HYPERLINK("https://www.kyuk.org/2024-08-09/public-health-advocates-push-olympics-to-drop-coca-cola-sponsorship")</f>
        <v>https://www.kyuk.org/2024-08-09/public-health-advocates-push-olympics-to-drop-coca-cola-sponsorship</v>
      </c>
      <c r="C2391" s="2" t="s">
        <v>1355</v>
      </c>
      <c r="D2391" s="3">
        <v>45513.32571759259</v>
      </c>
      <c r="E2391" s="2" t="s">
        <v>613</v>
      </c>
    </row>
    <row r="2392" spans="1:5" ht="112" x14ac:dyDescent="0.2">
      <c r="A2392" s="2" t="s">
        <v>147</v>
      </c>
      <c r="B2392" s="2" t="str">
        <f>HYPERLINK("https://www.upr.org/npr-news/2024-08-09/public-health-advocates-push-olympics-to-drop-coca-cola-sponsorship")</f>
        <v>https://www.upr.org/npr-news/2024-08-09/public-health-advocates-push-olympics-to-drop-coca-cola-sponsorship</v>
      </c>
      <c r="C2392" s="2" t="s">
        <v>1442</v>
      </c>
      <c r="D2392" s="3">
        <v>45513.325775462959</v>
      </c>
      <c r="E2392" s="2" t="s">
        <v>613</v>
      </c>
    </row>
    <row r="2393" spans="1:5" ht="112" x14ac:dyDescent="0.2">
      <c r="A2393" s="2" t="s">
        <v>147</v>
      </c>
      <c r="B2393" s="2" t="str">
        <f>HYPERLINK("https://www.wmuk.org/npr-news/2024-08-09/public-health-advocates-push-olympics-to-drop-coca-cola-sponsorship")</f>
        <v>https://www.wmuk.org/npr-news/2024-08-09/public-health-advocates-push-olympics-to-drop-coca-cola-sponsorship</v>
      </c>
      <c r="C2393" s="2" t="s">
        <v>1175</v>
      </c>
      <c r="D2393" s="3">
        <v>45513.325821759259</v>
      </c>
      <c r="E2393" s="2" t="s">
        <v>613</v>
      </c>
    </row>
    <row r="2394" spans="1:5" ht="112" x14ac:dyDescent="0.2">
      <c r="A2394" s="2" t="s">
        <v>147</v>
      </c>
      <c r="B2394" s="2" t="str">
        <f>HYPERLINK("https://www.wesa.fm/2024-08-09/public-health-advocates-push-olympics-to-drop-coca-cola-sponsorship")</f>
        <v>https://www.wesa.fm/2024-08-09/public-health-advocates-push-olympics-to-drop-coca-cola-sponsorship</v>
      </c>
      <c r="C2394" s="2" t="s">
        <v>2424</v>
      </c>
      <c r="D2394" s="3">
        <v>45513.327094907407</v>
      </c>
      <c r="E2394" s="2" t="s">
        <v>613</v>
      </c>
    </row>
    <row r="2395" spans="1:5" ht="112" x14ac:dyDescent="0.2">
      <c r="A2395" s="2" t="s">
        <v>147</v>
      </c>
      <c r="B2395" s="2" t="str">
        <f>HYPERLINK("https://www.southcarolinapublicradio.org/2024-08-09/public-health-advocates-push-olympics-to-drop-coca-cola-sponsorship")</f>
        <v>https://www.southcarolinapublicradio.org/2024-08-09/public-health-advocates-push-olympics-to-drop-coca-cola-sponsorship</v>
      </c>
      <c r="C2395" s="2" t="s">
        <v>1747</v>
      </c>
      <c r="D2395" s="3">
        <v>45513.327152777783</v>
      </c>
      <c r="E2395" s="2" t="s">
        <v>613</v>
      </c>
    </row>
    <row r="2396" spans="1:5" ht="112" x14ac:dyDescent="0.2">
      <c r="A2396" s="2" t="s">
        <v>147</v>
      </c>
      <c r="B2396" s="2" t="str">
        <f>HYPERLINK("https://www.wgvunews.org/2024-08-09/public-health-advocates-push-olympics-to-drop-coca-cola-sponsorship")</f>
        <v>https://www.wgvunews.org/2024-08-09/public-health-advocates-push-olympics-to-drop-coca-cola-sponsorship</v>
      </c>
      <c r="C2396" s="2" t="s">
        <v>1048</v>
      </c>
      <c r="D2396" s="3">
        <v>45513.327326388891</v>
      </c>
      <c r="E2396" s="2" t="s">
        <v>613</v>
      </c>
    </row>
    <row r="2397" spans="1:5" ht="112" x14ac:dyDescent="0.2">
      <c r="A2397" s="2" t="s">
        <v>147</v>
      </c>
      <c r="B2397" s="2" t="str">
        <f>HYPERLINK("https://www.knba.org/npr-news/2024-08-09/public-health-advocates-push-olympics-to-drop-coca-cola-sponsorship")</f>
        <v>https://www.knba.org/npr-news/2024-08-09/public-health-advocates-push-olympics-to-drop-coca-cola-sponsorship</v>
      </c>
      <c r="C2397" s="2" t="s">
        <v>768</v>
      </c>
      <c r="D2397" s="3">
        <v>45513.327372685177</v>
      </c>
      <c r="E2397" s="2" t="s">
        <v>613</v>
      </c>
    </row>
    <row r="2398" spans="1:5" ht="112" x14ac:dyDescent="0.2">
      <c r="A2398" s="2" t="s">
        <v>147</v>
      </c>
      <c r="B2398" s="2" t="str">
        <f>HYPERLINK("https://www.ksut.org/2024-08-09/public-health-advocates-push-olympics-to-drop-coca-cola-sponsorship")</f>
        <v>https://www.ksut.org/2024-08-09/public-health-advocates-push-olympics-to-drop-coca-cola-sponsorship</v>
      </c>
      <c r="C2398" s="2" t="s">
        <v>1169</v>
      </c>
      <c r="D2398" s="3">
        <v>45513.327453703707</v>
      </c>
      <c r="E2398" s="2" t="s">
        <v>613</v>
      </c>
    </row>
    <row r="2399" spans="1:5" ht="112" x14ac:dyDescent="0.2">
      <c r="A2399" s="2" t="s">
        <v>147</v>
      </c>
      <c r="B2399" s="2" t="str">
        <f>HYPERLINK("https://www.kclu.org/healthcare/2024-08-09/public-health-advocates-push-olympics-to-drop-coca-cola-sponsorship")</f>
        <v>https://www.kclu.org/healthcare/2024-08-09/public-health-advocates-push-olympics-to-drop-coca-cola-sponsorship</v>
      </c>
      <c r="C2399" s="2" t="s">
        <v>1529</v>
      </c>
      <c r="D2399" s="3">
        <v>45513.328298611108</v>
      </c>
      <c r="E2399" s="2" t="s">
        <v>613</v>
      </c>
    </row>
    <row r="2400" spans="1:5" ht="112" x14ac:dyDescent="0.2">
      <c r="A2400" s="2" t="s">
        <v>147</v>
      </c>
      <c r="B2400" s="2" t="str">
        <f>HYPERLINK("https://www.kwit.org/2024-08-09/public-health-advocates-push-olympics-to-drop-coca-cola-sponsorship")</f>
        <v>https://www.kwit.org/2024-08-09/public-health-advocates-push-olympics-to-drop-coca-cola-sponsorship</v>
      </c>
      <c r="C2400" s="2" t="s">
        <v>902</v>
      </c>
      <c r="D2400" s="3">
        <v>45513.328668981478</v>
      </c>
      <c r="E2400" s="2" t="s">
        <v>613</v>
      </c>
    </row>
    <row r="2401" spans="1:5" ht="112" x14ac:dyDescent="0.2">
      <c r="A2401" s="2" t="s">
        <v>147</v>
      </c>
      <c r="B2401" s="2" t="str">
        <f>HYPERLINK("https://www.kccu.org/2024-08-09/public-health-advocates-push-olympics-to-drop-coca-cola-sponsorship")</f>
        <v>https://www.kccu.org/2024-08-09/public-health-advocates-push-olympics-to-drop-coca-cola-sponsorship</v>
      </c>
      <c r="C2401" s="2" t="s">
        <v>877</v>
      </c>
      <c r="D2401" s="3">
        <v>45513.329305555562</v>
      </c>
      <c r="E2401" s="2" t="s">
        <v>613</v>
      </c>
    </row>
    <row r="2402" spans="1:5" ht="112" x14ac:dyDescent="0.2">
      <c r="A2402" s="2" t="s">
        <v>147</v>
      </c>
      <c r="B2402" s="2" t="str">
        <f>HYPERLINK("https://radio.wpsu.org/2024-08-09/public-health-advocates-push-olympics-to-drop-coca-cola-sponsorship")</f>
        <v>https://radio.wpsu.org/2024-08-09/public-health-advocates-push-olympics-to-drop-coca-cola-sponsorship</v>
      </c>
      <c r="C2402" s="2" t="s">
        <v>1128</v>
      </c>
      <c r="D2402" s="3">
        <v>45513.330057870371</v>
      </c>
      <c r="E2402" s="2" t="s">
        <v>613</v>
      </c>
    </row>
    <row r="2403" spans="1:5" ht="112" x14ac:dyDescent="0.2">
      <c r="A2403" s="2" t="s">
        <v>147</v>
      </c>
      <c r="B2403" s="2" t="str">
        <f>HYPERLINK("https://www.knkx.org/2024-08-09/public-health-advocates-push-olympics-to-drop-coca-cola-sponsorship")</f>
        <v>https://www.knkx.org/2024-08-09/public-health-advocates-push-olympics-to-drop-coca-cola-sponsorship</v>
      </c>
      <c r="C2403" s="2" t="s">
        <v>1881</v>
      </c>
      <c r="D2403" s="3">
        <v>45513.330358796287</v>
      </c>
      <c r="E2403" s="2" t="s">
        <v>613</v>
      </c>
    </row>
    <row r="2404" spans="1:5" ht="112" x14ac:dyDescent="0.2">
      <c r="A2404" s="2" t="s">
        <v>147</v>
      </c>
      <c r="B2404" s="2" t="str">
        <f>HYPERLINK("https://www.krcu.org/2024-08-09/public-health-advocates-push-olympics-to-drop-coca-cola-sponsorship")</f>
        <v>https://www.krcu.org/2024-08-09/public-health-advocates-push-olympics-to-drop-coca-cola-sponsorship</v>
      </c>
      <c r="C2404" s="2" t="s">
        <v>888</v>
      </c>
      <c r="D2404" s="3">
        <v>45513.330567129633</v>
      </c>
      <c r="E2404" s="2" t="s">
        <v>613</v>
      </c>
    </row>
    <row r="2405" spans="1:5" ht="112" x14ac:dyDescent="0.2">
      <c r="A2405" s="2" t="s">
        <v>147</v>
      </c>
      <c r="B2405" s="2" t="str">
        <f>HYPERLINK("https://www.kmuw.org/2024-08-09/public-health-advocates-push-olympics-to-drop-coca-cola-sponsorship")</f>
        <v>https://www.kmuw.org/2024-08-09/public-health-advocates-push-olympics-to-drop-coca-cola-sponsorship</v>
      </c>
      <c r="C2405" s="2" t="s">
        <v>1488</v>
      </c>
      <c r="D2405" s="3">
        <v>45513.330682870372</v>
      </c>
      <c r="E2405" s="2" t="s">
        <v>613</v>
      </c>
    </row>
    <row r="2406" spans="1:5" ht="112" x14ac:dyDescent="0.2">
      <c r="A2406" s="2" t="s">
        <v>147</v>
      </c>
      <c r="B2406" s="2" t="str">
        <f>HYPERLINK("https://www.wbfo.org/2024-08-09/public-health-advocates-push-olympics-to-drop-coca-cola-sponsorship")</f>
        <v>https://www.wbfo.org/2024-08-09/public-health-advocates-push-olympics-to-drop-coca-cola-sponsorship</v>
      </c>
      <c r="C2406" s="2" t="s">
        <v>1453</v>
      </c>
      <c r="D2406" s="3">
        <v>45513.331192129634</v>
      </c>
      <c r="E2406" s="2" t="s">
        <v>613</v>
      </c>
    </row>
    <row r="2407" spans="1:5" ht="112" x14ac:dyDescent="0.2">
      <c r="A2407" s="2" t="s">
        <v>147</v>
      </c>
      <c r="B2407" s="2" t="str">
        <f>HYPERLINK("https://www.nhpr.org/2024-08-09/public-health-advocates-push-olympics-to-drop-coca-cola-sponsorship")</f>
        <v>https://www.nhpr.org/2024-08-09/public-health-advocates-push-olympics-to-drop-coca-cola-sponsorship</v>
      </c>
      <c r="C2407" s="2" t="s">
        <v>2323</v>
      </c>
      <c r="D2407" s="3">
        <v>45513.332384259258</v>
      </c>
      <c r="E2407" s="2" t="s">
        <v>613</v>
      </c>
    </row>
    <row r="2408" spans="1:5" ht="112" x14ac:dyDescent="0.2">
      <c r="A2408" s="2" t="s">
        <v>147</v>
      </c>
      <c r="B2408" s="2" t="str">
        <f>HYPERLINK("https://www.ksfr.org/npr-news/2024-08-09/public-health-advocates-push-olympics-to-drop-coca-cola-sponsorship")</f>
        <v>https://www.ksfr.org/npr-news/2024-08-09/public-health-advocates-push-olympics-to-drop-coca-cola-sponsorship</v>
      </c>
      <c r="C2408" s="2" t="s">
        <v>1103</v>
      </c>
      <c r="D2408" s="3">
        <v>45513.332453703697</v>
      </c>
      <c r="E2408" s="2" t="s">
        <v>613</v>
      </c>
    </row>
    <row r="2409" spans="1:5" ht="112" x14ac:dyDescent="0.2">
      <c r="A2409" s="2" t="s">
        <v>147</v>
      </c>
      <c r="B2409" s="2" t="str">
        <f>HYPERLINK("https://www.mainepublic.org/npr-news/2024-08-09/public-health-advocates-push-olympics-to-drop-coca-cola-sponsorship")</f>
        <v>https://www.mainepublic.org/npr-news/2024-08-09/public-health-advocates-push-olympics-to-drop-coca-cola-sponsorship</v>
      </c>
      <c r="C2409" s="2" t="s">
        <v>2282</v>
      </c>
      <c r="D2409" s="3">
        <v>45513.332546296297</v>
      </c>
      <c r="E2409" s="2" t="s">
        <v>613</v>
      </c>
    </row>
    <row r="2410" spans="1:5" ht="112" x14ac:dyDescent="0.2">
      <c r="A2410" s="2" t="s">
        <v>147</v>
      </c>
      <c r="B2410" s="2" t="str">
        <f>HYPERLINK("https://www.aspenpublicradio.org/2024-08-09/public-health-advocates-push-olympics-to-drop-coca-cola-sponsorship")</f>
        <v>https://www.aspenpublicradio.org/2024-08-09/public-health-advocates-push-olympics-to-drop-coca-cola-sponsorship</v>
      </c>
      <c r="C2410" s="2" t="s">
        <v>1064</v>
      </c>
      <c r="D2410" s="3">
        <v>45513.332615740743</v>
      </c>
      <c r="E2410" s="2" t="s">
        <v>613</v>
      </c>
    </row>
    <row r="2411" spans="1:5" ht="112" x14ac:dyDescent="0.2">
      <c r="A2411" s="2" t="s">
        <v>147</v>
      </c>
      <c r="B2411" s="2" t="str">
        <f>HYPERLINK("https://www.kcbx.org/npr-top-news/2024-08-09/public-health-advocates-push-olympics-to-drop-coca-cola-sponsorship")</f>
        <v>https://www.kcbx.org/npr-top-news/2024-08-09/public-health-advocates-push-olympics-to-drop-coca-cola-sponsorship</v>
      </c>
      <c r="C2411" s="2" t="s">
        <v>1271</v>
      </c>
      <c r="D2411" s="3">
        <v>45513.333287037043</v>
      </c>
      <c r="E2411" s="2" t="s">
        <v>613</v>
      </c>
    </row>
    <row r="2412" spans="1:5" ht="112" x14ac:dyDescent="0.2">
      <c r="A2412" s="2" t="s">
        <v>147</v>
      </c>
      <c r="B2412" s="2" t="str">
        <f>HYPERLINK("https://www.kawc.org/npr-news/2024-08-09/public-health-advocates-push-olympics-to-drop-coca-cola-sponsorship")</f>
        <v>https://www.kawc.org/npr-news/2024-08-09/public-health-advocates-push-olympics-to-drop-coca-cola-sponsorship</v>
      </c>
      <c r="C2412" s="2" t="s">
        <v>1459</v>
      </c>
      <c r="D2412" s="3">
        <v>45513.333310185182</v>
      </c>
      <c r="E2412" s="2" t="s">
        <v>613</v>
      </c>
    </row>
    <row r="2413" spans="1:5" ht="112" x14ac:dyDescent="0.2">
      <c r="A2413" s="2" t="s">
        <v>147</v>
      </c>
      <c r="B2413" s="2" t="str">
        <f>HYPERLINK("https://www.hawaiipublicradio.org/national-international/2024-08-09/public-health-advocates-push-olympics-to-drop-coca-cola-sponsorship")</f>
        <v>https://www.hawaiipublicradio.org/national-international/2024-08-09/public-health-advocates-push-olympics-to-drop-coca-cola-sponsorship</v>
      </c>
      <c r="C2413" s="2" t="s">
        <v>2008</v>
      </c>
      <c r="D2413" s="3">
        <v>45513.335266203707</v>
      </c>
      <c r="E2413" s="2" t="s">
        <v>613</v>
      </c>
    </row>
    <row r="2414" spans="1:5" ht="112" x14ac:dyDescent="0.2">
      <c r="A2414" s="2" t="s">
        <v>147</v>
      </c>
      <c r="B2414" s="2" t="str">
        <f>HYPERLINK("https://www.wyso.org/npr-news/2024-08-09/public-health-advocates-push-olympics-to-drop-coca-cola-sponsorship")</f>
        <v>https://www.wyso.org/npr-news/2024-08-09/public-health-advocates-push-olympics-to-drop-coca-cola-sponsorship</v>
      </c>
      <c r="C2414" s="2" t="s">
        <v>1639</v>
      </c>
      <c r="D2414" s="3">
        <v>45513.335370370369</v>
      </c>
      <c r="E2414" s="2" t="s">
        <v>613</v>
      </c>
    </row>
    <row r="2415" spans="1:5" ht="112" x14ac:dyDescent="0.2">
      <c r="A2415" s="2" t="s">
        <v>147</v>
      </c>
      <c r="B2415" s="2" t="str">
        <f>HYPERLINK("https://www.wclk.com/2024-08-09/public-health-advocates-push-olympics-to-drop-coca-cola-sponsorship")</f>
        <v>https://www.wclk.com/2024-08-09/public-health-advocates-push-olympics-to-drop-coca-cola-sponsorship</v>
      </c>
      <c r="C2415" s="2" t="s">
        <v>1184</v>
      </c>
      <c r="D2415" s="3">
        <v>45513.335694444453</v>
      </c>
      <c r="E2415" s="2" t="s">
        <v>613</v>
      </c>
    </row>
    <row r="2416" spans="1:5" ht="112" x14ac:dyDescent="0.2">
      <c r="A2416" s="2" t="s">
        <v>147</v>
      </c>
      <c r="B2416" s="2" t="str">
        <f>HYPERLINK("https://www.boisestatepublicradio.org/2024-08-09/public-health-advocates-push-olympics-to-drop-coca-cola-sponsorship")</f>
        <v>https://www.boisestatepublicradio.org/2024-08-09/public-health-advocates-push-olympics-to-drop-coca-cola-sponsorship</v>
      </c>
      <c r="C2416" s="2" t="s">
        <v>1780</v>
      </c>
      <c r="D2416" s="3">
        <v>45513.335914351846</v>
      </c>
      <c r="E2416" s="2" t="s">
        <v>613</v>
      </c>
    </row>
    <row r="2417" spans="1:5" ht="112" x14ac:dyDescent="0.2">
      <c r="A2417" s="2" t="s">
        <v>147</v>
      </c>
      <c r="B2417" s="2" t="str">
        <f>HYPERLINK("https://www.wvpe.org/npr-news/2024-08-09/public-health-advocates-push-olympics-to-drop-coca-cola-sponsorship")</f>
        <v>https://www.wvpe.org/npr-news/2024-08-09/public-health-advocates-push-olympics-to-drop-coca-cola-sponsorship</v>
      </c>
      <c r="C2417" s="2" t="s">
        <v>1234</v>
      </c>
      <c r="D2417" s="3">
        <v>45513.335949074077</v>
      </c>
      <c r="E2417" s="2" t="s">
        <v>613</v>
      </c>
    </row>
    <row r="2418" spans="1:5" ht="112" x14ac:dyDescent="0.2">
      <c r="A2418" s="2" t="s">
        <v>147</v>
      </c>
      <c r="B2418" s="2" t="str">
        <f>HYPERLINK("https://www.capeandislands.org/2024-08-09/public-health-advocates-push-olympics-to-drop-coca-cola-sponsorship")</f>
        <v>https://www.capeandislands.org/2024-08-09/public-health-advocates-push-olympics-to-drop-coca-cola-sponsorship</v>
      </c>
      <c r="C2418" s="2" t="s">
        <v>1454</v>
      </c>
      <c r="D2418" s="3">
        <v>45513.336030092592</v>
      </c>
      <c r="E2418" s="2" t="s">
        <v>613</v>
      </c>
    </row>
    <row r="2419" spans="1:5" ht="112" x14ac:dyDescent="0.2">
      <c r="A2419" s="2" t="s">
        <v>147</v>
      </c>
      <c r="B2419" s="2" t="str">
        <f>HYPERLINK("https://www.wncw.org/2024-08-09/public-health-advocates-push-olympics-to-drop-coca-cola-sponsorship")</f>
        <v>https://www.wncw.org/2024-08-09/public-health-advocates-push-olympics-to-drop-coca-cola-sponsorship</v>
      </c>
      <c r="C2419" s="2" t="s">
        <v>1017</v>
      </c>
      <c r="D2419" s="3">
        <v>45513.336238425924</v>
      </c>
      <c r="E2419" s="2" t="s">
        <v>613</v>
      </c>
    </row>
    <row r="2420" spans="1:5" ht="112" x14ac:dyDescent="0.2">
      <c r="A2420" s="2" t="s">
        <v>147</v>
      </c>
      <c r="B2420" s="2" t="str">
        <f>HYPERLINK("https://www.wemu.org/npr-national-news/2024-08-09/public-health-advocates-push-olympics-to-drop-coca-cola-sponsorship")</f>
        <v>https://www.wemu.org/npr-national-news/2024-08-09/public-health-advocates-push-olympics-to-drop-coca-cola-sponsorship</v>
      </c>
      <c r="C2420" s="2" t="s">
        <v>1395</v>
      </c>
      <c r="D2420" s="3">
        <v>45513.336898148147</v>
      </c>
      <c r="E2420" s="2" t="s">
        <v>613</v>
      </c>
    </row>
    <row r="2421" spans="1:5" ht="112" x14ac:dyDescent="0.2">
      <c r="A2421" s="2" t="s">
        <v>147</v>
      </c>
      <c r="B2421" s="2" t="str">
        <f>HYPERLINK("https://www.wcbu.org/npr-news/2024-08-09/public-health-advocates-push-olympics-to-drop-coca-cola-sponsorship")</f>
        <v>https://www.wcbu.org/npr-news/2024-08-09/public-health-advocates-push-olympics-to-drop-coca-cola-sponsorship</v>
      </c>
      <c r="C2421" s="2" t="s">
        <v>1471</v>
      </c>
      <c r="D2421" s="3">
        <v>45513.337569444448</v>
      </c>
      <c r="E2421" s="2" t="s">
        <v>613</v>
      </c>
    </row>
    <row r="2422" spans="1:5" ht="112" x14ac:dyDescent="0.2">
      <c r="A2422" s="2" t="s">
        <v>147</v>
      </c>
      <c r="B2422" s="2" t="str">
        <f>HYPERLINK("https://www.wskg.org/npr-news/2024-08-09/public-health-advocates-push-olympics-to-drop-coca-cola-sponsorship")</f>
        <v>https://www.wskg.org/npr-news/2024-08-09/public-health-advocates-push-olympics-to-drop-coca-cola-sponsorship</v>
      </c>
      <c r="C2422" s="2" t="s">
        <v>1655</v>
      </c>
      <c r="D2422" s="3">
        <v>45513.337824074071</v>
      </c>
      <c r="E2422" s="2" t="s">
        <v>613</v>
      </c>
    </row>
    <row r="2423" spans="1:5" ht="112" x14ac:dyDescent="0.2">
      <c r="A2423" s="2" t="s">
        <v>147</v>
      </c>
      <c r="B2423" s="2" t="str">
        <f>HYPERLINK("https://www.kvpr.org/npr-news/2024-08-09/public-health-advocates-push-olympics-to-drop-coca-cola-sponsorship")</f>
        <v>https://www.kvpr.org/npr-news/2024-08-09/public-health-advocates-push-olympics-to-drop-coca-cola-sponsorship</v>
      </c>
      <c r="C2423" s="2" t="s">
        <v>1253</v>
      </c>
      <c r="D2423" s="3">
        <v>45513.347326388888</v>
      </c>
      <c r="E2423" s="2" t="s">
        <v>613</v>
      </c>
    </row>
    <row r="2424" spans="1:5" ht="112" x14ac:dyDescent="0.2">
      <c r="A2424" s="2" t="s">
        <v>147</v>
      </c>
      <c r="B2424" s="2" t="str">
        <f>HYPERLINK("https://www.wfae.org/2024-08-09/public-health-advocates-push-olympics-to-drop-coca-cola-sponsorship")</f>
        <v>https://www.wfae.org/2024-08-09/public-health-advocates-push-olympics-to-drop-coca-cola-sponsorship</v>
      </c>
      <c r="C2424" s="2" t="s">
        <v>2117</v>
      </c>
      <c r="D2424" s="3">
        <v>45513.361226851863</v>
      </c>
      <c r="E2424" s="2" t="s">
        <v>613</v>
      </c>
    </row>
    <row r="2425" spans="1:5" ht="112" x14ac:dyDescent="0.2">
      <c r="A2425" s="2" t="s">
        <v>147</v>
      </c>
      <c r="B2425" s="2" t="str">
        <f>HYPERLINK("https://www.kalw.org/npr-news/2024-08-09/public-health-advocates-push-olympics-to-drop-coca-cola-sponsorship")</f>
        <v>https://www.kalw.org/npr-news/2024-08-09/public-health-advocates-push-olympics-to-drop-coca-cola-sponsorship</v>
      </c>
      <c r="C2425" s="2" t="s">
        <v>1689</v>
      </c>
      <c r="D2425" s="3">
        <v>45513.36986111111</v>
      </c>
      <c r="E2425" s="2" t="s">
        <v>613</v>
      </c>
    </row>
    <row r="2426" spans="1:5" ht="112" x14ac:dyDescent="0.2">
      <c r="A2426" s="2" t="s">
        <v>147</v>
      </c>
      <c r="B2426" s="2" t="str">
        <f>HYPERLINK("https://www.wvtf.org/2024-08-09/public-health-advocates-push-olympics-to-drop-coca-cola-sponsorship")</f>
        <v>https://www.wvtf.org/2024-08-09/public-health-advocates-push-olympics-to-drop-coca-cola-sponsorship</v>
      </c>
      <c r="C2426" s="2" t="s">
        <v>1738</v>
      </c>
      <c r="D2426" s="3">
        <v>45513.372766203713</v>
      </c>
      <c r="E2426" s="2" t="s">
        <v>613</v>
      </c>
    </row>
    <row r="2427" spans="1:5" ht="112" x14ac:dyDescent="0.2">
      <c r="A2427" s="2" t="s">
        <v>147</v>
      </c>
      <c r="B2427" s="2" t="str">
        <f>HYPERLINK("https://www.michiganpublic.org/2024-08-09/public-health-advocates-push-olympics-to-drop-coca-cola-sponsorship")</f>
        <v>https://www.michiganpublic.org/2024-08-09/public-health-advocates-push-olympics-to-drop-coca-cola-sponsorship</v>
      </c>
      <c r="C2427" s="2" t="s">
        <v>2146</v>
      </c>
      <c r="D2427" s="3">
        <v>45513.375439814823</v>
      </c>
      <c r="E2427" s="2" t="s">
        <v>613</v>
      </c>
    </row>
    <row r="2428" spans="1:5" ht="112" x14ac:dyDescent="0.2">
      <c r="A2428" s="2" t="s">
        <v>147</v>
      </c>
      <c r="B2428" s="2" t="str">
        <f>HYPERLINK("https://www.ijpr.org/npr-news/2024-08-09/public-health-advocates-push-olympics-to-drop-coca-cola-sponsorship")</f>
        <v>https://www.ijpr.org/npr-news/2024-08-09/public-health-advocates-push-olympics-to-drop-coca-cola-sponsorship</v>
      </c>
      <c r="C2428" s="2" t="s">
        <v>1675</v>
      </c>
      <c r="D2428" s="3">
        <v>45513.375462962962</v>
      </c>
      <c r="E2428" s="2" t="s">
        <v>613</v>
      </c>
    </row>
    <row r="2429" spans="1:5" ht="112" x14ac:dyDescent="0.2">
      <c r="A2429" s="2" t="s">
        <v>147</v>
      </c>
      <c r="B2429" s="2" t="str">
        <f>HYPERLINK("https://www.kbia.org/2024-08-09/public-health-advocates-push-olympics-to-drop-coca-cola-sponsorship")</f>
        <v>https://www.kbia.org/2024-08-09/public-health-advocates-push-olympics-to-drop-coca-cola-sponsorship</v>
      </c>
      <c r="C2429" s="2" t="s">
        <v>1239</v>
      </c>
      <c r="D2429" s="3">
        <v>45513.375497685192</v>
      </c>
      <c r="E2429" s="2" t="s">
        <v>613</v>
      </c>
    </row>
    <row r="2430" spans="1:5" ht="112" x14ac:dyDescent="0.2">
      <c r="A2430" s="2" t="s">
        <v>147</v>
      </c>
      <c r="B2430" s="2" t="str">
        <f>HYPERLINK("https://www.whqr.org/2024-08-09/public-health-advocates-push-olympics-to-drop-coca-cola-sponsorship")</f>
        <v>https://www.whqr.org/2024-08-09/public-health-advocates-push-olympics-to-drop-coca-cola-sponsorship</v>
      </c>
      <c r="C2430" s="2" t="s">
        <v>1366</v>
      </c>
      <c r="D2430" s="3">
        <v>45513.375671296293</v>
      </c>
      <c r="E2430" s="2" t="s">
        <v>613</v>
      </c>
    </row>
    <row r="2431" spans="1:5" ht="112" x14ac:dyDescent="0.2">
      <c r="A2431" s="2" t="s">
        <v>147</v>
      </c>
      <c r="B2431" s="2" t="str">
        <f>HYPERLINK("https://www.hppr.org/2024-08-09/public-health-advocates-push-olympics-to-drop-coca-cola-sponsorship")</f>
        <v>https://www.hppr.org/2024-08-09/public-health-advocates-push-olympics-to-drop-coca-cola-sponsorship</v>
      </c>
      <c r="C2431" s="2" t="s">
        <v>1117</v>
      </c>
      <c r="D2431" s="3">
        <v>45513.37568287037</v>
      </c>
      <c r="E2431" s="2" t="s">
        <v>613</v>
      </c>
    </row>
    <row r="2432" spans="1:5" ht="112" x14ac:dyDescent="0.2">
      <c r="A2432" s="2" t="s">
        <v>147</v>
      </c>
      <c r="B2432" s="2" t="str">
        <f>HYPERLINK("https://www.wypr.org/2024-08-09/public-health-advocates-push-olympics-to-drop-coca-cola-sponsorship")</f>
        <v>https://www.wypr.org/2024-08-09/public-health-advocates-push-olympics-to-drop-coca-cola-sponsorship</v>
      </c>
      <c r="C2432" s="2" t="s">
        <v>1495</v>
      </c>
      <c r="D2432" s="3">
        <v>45513.375694444447</v>
      </c>
      <c r="E2432" s="2" t="s">
        <v>613</v>
      </c>
    </row>
    <row r="2433" spans="1:5" ht="112" x14ac:dyDescent="0.2">
      <c r="A2433" s="2" t="s">
        <v>147</v>
      </c>
      <c r="B2433" s="2" t="str">
        <f>HYPERLINK("https://www.wuwm.com/health-science/2024-08-09/public-health-advocates-push-olympics-to-drop-coca-cola-sponsorship")</f>
        <v>https://www.wuwm.com/health-science/2024-08-09/public-health-advocates-push-olympics-to-drop-coca-cola-sponsorship</v>
      </c>
      <c r="C2433" s="2" t="s">
        <v>2012</v>
      </c>
      <c r="D2433" s="3">
        <v>45513.375706018523</v>
      </c>
      <c r="E2433" s="2" t="s">
        <v>613</v>
      </c>
    </row>
    <row r="2434" spans="1:5" ht="112" x14ac:dyDescent="0.2">
      <c r="A2434" s="2" t="s">
        <v>147</v>
      </c>
      <c r="B2434" s="2" t="str">
        <f>HYPERLINK("https://www.wmot.org/2024-08-09/public-health-advocates-push-olympics-to-drop-coca-cola-sponsorship")</f>
        <v>https://www.wmot.org/2024-08-09/public-health-advocates-push-olympics-to-drop-coca-cola-sponsorship</v>
      </c>
      <c r="C2434" s="2" t="s">
        <v>1268</v>
      </c>
      <c r="D2434" s="3">
        <v>45513.375775462962</v>
      </c>
      <c r="E2434" s="2" t="s">
        <v>613</v>
      </c>
    </row>
    <row r="2435" spans="1:5" ht="112" x14ac:dyDescent="0.2">
      <c r="A2435" s="2" t="s">
        <v>147</v>
      </c>
      <c r="B2435" s="2" t="str">
        <f>HYPERLINK("https://www.kdnk.org/2024-08-09/public-health-advocates-push-olympics-to-drop-coca-cola-sponsorship")</f>
        <v>https://www.kdnk.org/2024-08-09/public-health-advocates-push-olympics-to-drop-coca-cola-sponsorship</v>
      </c>
      <c r="C2435" s="2" t="s">
        <v>835</v>
      </c>
      <c r="D2435" s="3">
        <v>45513.376006944447</v>
      </c>
      <c r="E2435" s="2" t="s">
        <v>613</v>
      </c>
    </row>
    <row r="2436" spans="1:5" ht="112" x14ac:dyDescent="0.2">
      <c r="A2436" s="2" t="s">
        <v>147</v>
      </c>
      <c r="B2436" s="2" t="str">
        <f>HYPERLINK("https://www.kdll.org/npr-news/2024-08-09/public-health-advocates-push-olympics-to-drop-coca-cola-sponsorship")</f>
        <v>https://www.kdll.org/npr-news/2024-08-09/public-health-advocates-push-olympics-to-drop-coca-cola-sponsorship</v>
      </c>
      <c r="C2436" s="2" t="s">
        <v>866</v>
      </c>
      <c r="D2436" s="3">
        <v>45513.37604166667</v>
      </c>
      <c r="E2436" s="2" t="s">
        <v>613</v>
      </c>
    </row>
    <row r="2437" spans="1:5" ht="112" x14ac:dyDescent="0.2">
      <c r="A2437" s="2" t="s">
        <v>147</v>
      </c>
      <c r="B2437" s="2" t="str">
        <f>HYPERLINK("https://www.kanw.com/npr-news/2024-08-09/public-health-advocates-push-olympics-to-drop-coca-cola-sponsorship")</f>
        <v>https://www.kanw.com/npr-news/2024-08-09/public-health-advocates-push-olympics-to-drop-coca-cola-sponsorship</v>
      </c>
      <c r="C2437" s="2" t="s">
        <v>942</v>
      </c>
      <c r="D2437" s="3">
        <v>45513.376076388893</v>
      </c>
      <c r="E2437" s="2" t="s">
        <v>613</v>
      </c>
    </row>
    <row r="2438" spans="1:5" ht="112" x14ac:dyDescent="0.2">
      <c r="A2438" s="2" t="s">
        <v>147</v>
      </c>
      <c r="B2438" s="2" t="str">
        <f>HYPERLINK("https://www.waer.org/2024-08-09/public-health-advocates-push-olympics-to-drop-coca-cola-sponsorship")</f>
        <v>https://www.waer.org/2024-08-09/public-health-advocates-push-olympics-to-drop-coca-cola-sponsorship</v>
      </c>
      <c r="C2438" s="2" t="s">
        <v>1202</v>
      </c>
      <c r="D2438" s="3">
        <v>45513.377280092587</v>
      </c>
      <c r="E2438" s="2" t="s">
        <v>613</v>
      </c>
    </row>
    <row r="2439" spans="1:5" ht="112" x14ac:dyDescent="0.2">
      <c r="A2439" s="2" t="s">
        <v>147</v>
      </c>
      <c r="B2439" s="2" t="str">
        <f>HYPERLINK("https://www.kaxe.org/news/2024-08-09/public-health-advocates-push-olympics-to-drop-coca-cola-sponsorship")</f>
        <v>https://www.kaxe.org/news/2024-08-09/public-health-advocates-push-olympics-to-drop-coca-cola-sponsorship</v>
      </c>
      <c r="C2439" s="2" t="s">
        <v>1391</v>
      </c>
      <c r="D2439" s="3">
        <v>45513.377280092587</v>
      </c>
      <c r="E2439" s="2" t="s">
        <v>613</v>
      </c>
    </row>
    <row r="2440" spans="1:5" ht="112" x14ac:dyDescent="0.2">
      <c r="A2440" s="2" t="s">
        <v>147</v>
      </c>
      <c r="B2440" s="2" t="str">
        <f>HYPERLINK("https://www.wrkf.org/2024-08-09/public-health-advocates-push-olympics-to-drop-coca-cola-sponsorship")</f>
        <v>https://www.wrkf.org/2024-08-09/public-health-advocates-push-olympics-to-drop-coca-cola-sponsorship</v>
      </c>
      <c r="C2440" s="2" t="s">
        <v>954</v>
      </c>
      <c r="D2440" s="3">
        <v>45513.377604166657</v>
      </c>
      <c r="E2440" s="2" t="s">
        <v>613</v>
      </c>
    </row>
    <row r="2441" spans="1:5" ht="112" x14ac:dyDescent="0.2">
      <c r="A2441" s="2" t="s">
        <v>147</v>
      </c>
      <c r="B2441" s="2" t="str">
        <f>HYPERLINK("https://www.marfapublicradio.org/2024-08-09/public-health-advocates-push-olympics-to-drop-coca-cola-sponsorship")</f>
        <v>https://www.marfapublicradio.org/2024-08-09/public-health-advocates-push-olympics-to-drop-coca-cola-sponsorship</v>
      </c>
      <c r="C2441" s="2" t="s">
        <v>1148</v>
      </c>
      <c r="D2441" s="3">
        <v>45513.380682870367</v>
      </c>
      <c r="E2441" s="2" t="s">
        <v>613</v>
      </c>
    </row>
    <row r="2442" spans="1:5" ht="112" x14ac:dyDescent="0.2">
      <c r="A2442" s="2" t="s">
        <v>501</v>
      </c>
      <c r="B2442" s="2" t="str">
        <f>HYPERLINK("https://todayschronic.com/public-health-advocates-push-olympics-to-drop-coca-cola-sponsorship-shots/")</f>
        <v>https://todayschronic.com/public-health-advocates-push-olympics-to-drop-coca-cola-sponsorship-shots/</v>
      </c>
      <c r="C2442" s="2" t="s">
        <v>524</v>
      </c>
      <c r="D2442" s="3">
        <v>45513.424189814818</v>
      </c>
      <c r="E2442" s="2" t="s">
        <v>554</v>
      </c>
    </row>
    <row r="2443" spans="1:5" ht="112" x14ac:dyDescent="0.2">
      <c r="A2443" s="2" t="s">
        <v>2317</v>
      </c>
      <c r="B2443" s="2" t="str">
        <f>HYPERLINK("https://www.wabe.org/public-health-advocates-push-olympics-to-drop-atlanta-based-coca-cola-as-a-sponsor/")</f>
        <v>https://www.wabe.org/public-health-advocates-push-olympics-to-drop-atlanta-based-coca-cola-as-a-sponsor/</v>
      </c>
      <c r="C2443" s="2" t="s">
        <v>2318</v>
      </c>
      <c r="D2443" s="3">
        <v>45513.466736111113</v>
      </c>
      <c r="E2443" s="2" t="s">
        <v>149</v>
      </c>
    </row>
    <row r="2444" spans="1:5" ht="84" x14ac:dyDescent="0.2">
      <c r="A2444" s="2" t="s">
        <v>147</v>
      </c>
      <c r="B2444" s="2" t="str">
        <f>HYPERLINK("https://www.kuow.org/stories/public-health-advocates-push-olympics-to-drop-coca-cola-sponsorship")</f>
        <v>https://www.kuow.org/stories/public-health-advocates-push-olympics-to-drop-coca-cola-sponsorship</v>
      </c>
      <c r="C2444" s="2" t="s">
        <v>2522</v>
      </c>
      <c r="D2444" s="3">
        <v>45513.500949074078</v>
      </c>
      <c r="E2444" s="2" t="s">
        <v>1050</v>
      </c>
    </row>
    <row r="2445" spans="1:5" ht="112" x14ac:dyDescent="0.2">
      <c r="A2445" s="2" t="s">
        <v>147</v>
      </c>
      <c r="B2445" s="2" t="str">
        <f>HYPERLINK("https://www.tpr.org/2024-08-09/public-health-advocates-push-olympics-to-drop-coca-cola-sponsorship")</f>
        <v>https://www.tpr.org/2024-08-09/public-health-advocates-push-olympics-to-drop-coca-cola-sponsorship</v>
      </c>
      <c r="C2445" s="2" t="s">
        <v>2364</v>
      </c>
      <c r="D2445" s="3">
        <v>45513.526504629634</v>
      </c>
      <c r="E2445" s="2" t="s">
        <v>613</v>
      </c>
    </row>
    <row r="2446" spans="1:5" ht="112" x14ac:dyDescent="0.2">
      <c r="A2446" s="2" t="s">
        <v>147</v>
      </c>
      <c r="B2446" s="2" t="str">
        <f>HYPERLINK("https://360aproko.com/public-health-advocates-push-olympics-to-drop-coca-cola-sponsorship/")</f>
        <v>https://360aproko.com/public-health-advocates-push-olympics-to-drop-coca-cola-sponsorship/</v>
      </c>
      <c r="C2446" s="2" t="s">
        <v>148</v>
      </c>
      <c r="D2446" s="3">
        <v>45513.608715277784</v>
      </c>
      <c r="E2446" s="2" t="s">
        <v>149</v>
      </c>
    </row>
    <row r="2447" spans="1:5" ht="84" x14ac:dyDescent="0.2">
      <c r="A2447" s="2" t="s">
        <v>4147</v>
      </c>
      <c r="B2447" s="2" t="str">
        <f>HYPERLINK("https://oen.pl/owoce-i-warzywa-moga-zmniejszac-ryzyko-chorob-nerek-i-serca/")</f>
        <v>https://oen.pl/owoce-i-warzywa-moga-zmniejszac-ryzyko-chorob-nerek-i-serca/</v>
      </c>
      <c r="C2447" s="2" t="s">
        <v>4013</v>
      </c>
      <c r="D2447" s="3">
        <v>45514.946898148148</v>
      </c>
      <c r="E2447" s="2" t="s">
        <v>4148</v>
      </c>
    </row>
    <row r="2448" spans="1:5" ht="140" x14ac:dyDescent="0.2">
      <c r="A2448" s="2" t="s">
        <v>713</v>
      </c>
      <c r="B2448" s="2" t="str">
        <f>HYPERLINK("https://theatlantavoice.com/fruits-vegetables-blood-pressure/")</f>
        <v>https://theatlantavoice.com/fruits-vegetables-blood-pressure/</v>
      </c>
      <c r="C2448" s="2" t="s">
        <v>1764</v>
      </c>
      <c r="D2448" s="3">
        <v>45514.948206018518</v>
      </c>
      <c r="E2448" s="2" t="s">
        <v>1765</v>
      </c>
    </row>
    <row r="2449" spans="1:5" ht="126" x14ac:dyDescent="0.2">
      <c r="A2449" s="2" t="s">
        <v>3391</v>
      </c>
      <c r="B2449" s="2" t="str">
        <f>HYPERLINK("https://www.kompasiana.com/agustinus98698/66b82e11c925c46f34768932/menemukan-keseimbangan-sejati-antara-makan-kerja-dan-spiritualitas")</f>
        <v>https://www.kompasiana.com/agustinus98698/66b82e11c925c46f34768932/menemukan-keseimbangan-sejati-antara-makan-kerja-dan-spiritualitas</v>
      </c>
      <c r="C2449" s="2" t="s">
        <v>3387</v>
      </c>
      <c r="D2449" s="3">
        <v>45514.97278935185</v>
      </c>
      <c r="E2449" s="2" t="s">
        <v>3392</v>
      </c>
    </row>
    <row r="2450" spans="1:5" ht="112" x14ac:dyDescent="0.2">
      <c r="A2450" s="2" t="s">
        <v>825</v>
      </c>
      <c r="B2450" s="2" t="str">
        <f>HYPERLINK("https://health-reporter.news/fruits-and-vegetables-may-reduce-kidney-and-heart-disease-risk/")</f>
        <v>https://health-reporter.news/fruits-and-vegetables-may-reduce-kidney-and-heart-disease-risk/</v>
      </c>
      <c r="C2450" s="2" t="s">
        <v>222</v>
      </c>
      <c r="D2450" s="3">
        <v>45514.995462962957</v>
      </c>
      <c r="E2450" s="2" t="s">
        <v>714</v>
      </c>
    </row>
    <row r="2451" spans="1:5" ht="112" x14ac:dyDescent="0.2">
      <c r="A2451" s="2" t="s">
        <v>713</v>
      </c>
      <c r="B2451" s="2" t="str">
        <f>HYPERLINK("https://nation.lk/online/a-diet-high-in-fruits-and-vegetables-may-reduce-your-heart-and-kidney-disease-risk-study-says-273407.html")</f>
        <v>https://nation.lk/online/a-diet-high-in-fruits-and-vegetables-may-reduce-your-heart-and-kidney-disease-risk-study-says-273407.html</v>
      </c>
      <c r="C2451" s="2" t="s">
        <v>1179</v>
      </c>
      <c r="D2451" s="3">
        <v>45515</v>
      </c>
      <c r="E2451" s="2" t="s">
        <v>1180</v>
      </c>
    </row>
    <row r="2452" spans="1:5" ht="84" x14ac:dyDescent="0.2">
      <c r="A2452" s="2" t="s">
        <v>406</v>
      </c>
      <c r="B2452" s="2" t="str">
        <f>HYPERLINK("https://www.ksl.com/article/51091031/diet-high-in-fruits-vegetables-may-reduce-heart-kidney-disease-risk-study-finds")</f>
        <v>https://www.ksl.com/article/51091031/diet-high-in-fruits-vegetables-may-reduce-heart-kidney-disease-risk-study-finds</v>
      </c>
      <c r="C2452" s="2" t="s">
        <v>3284</v>
      </c>
      <c r="D2452" s="3">
        <v>45515.351388888892</v>
      </c>
      <c r="E2452" s="2" t="s">
        <v>1352</v>
      </c>
    </row>
    <row r="2453" spans="1:5" ht="112" x14ac:dyDescent="0.2">
      <c r="A2453" s="2" t="s">
        <v>585</v>
      </c>
      <c r="B2453" s="2" t="str">
        <f>HYPERLINK("https://www.notiulti.com/una-dieta-rica-en-frutas-y-verduras-puede-reducir-el-riesgo-de-enfermedades-cardiacas-y-renales-segun-un-estudio/")</f>
        <v>https://www.notiulti.com/una-dieta-rica-en-frutas-y-verduras-puede-reducir-el-riesgo-de-enfermedades-cardiacas-y-renales-segun-un-estudio/</v>
      </c>
      <c r="C2453" s="2" t="s">
        <v>583</v>
      </c>
      <c r="D2453" s="3">
        <v>45515.617418981477</v>
      </c>
      <c r="E2453" s="2" t="s">
        <v>586</v>
      </c>
    </row>
    <row r="2454" spans="1:5" ht="112" x14ac:dyDescent="0.2">
      <c r="A2454" s="2" t="s">
        <v>713</v>
      </c>
      <c r="B2454" s="2" t="str">
        <f>HYPERLINK("https://www.eastidahonews.com/2024/08/a-diet-high-in-fruits-and-vegetables-may-reduce-your-heart-and-kidney-disease-risk-study-says/")</f>
        <v>https://www.eastidahonews.com/2024/08/a-diet-high-in-fruits-and-vegetables-may-reduce-your-heart-and-kidney-disease-risk-study-says/</v>
      </c>
      <c r="C2454" s="2" t="s">
        <v>2845</v>
      </c>
      <c r="D2454" s="3">
        <v>45515.62703703704</v>
      </c>
      <c r="E2454" s="2" t="s">
        <v>1180</v>
      </c>
    </row>
    <row r="2455" spans="1:5" ht="84" x14ac:dyDescent="0.2">
      <c r="A2455" s="2" t="s">
        <v>332</v>
      </c>
      <c r="B2455" s="2" t="str">
        <f>HYPERLINK("https://www.algeriemondeinfos.com/etude-une-alimentation-riche-en-fruits-et-legumes-peut-reduire-le-risque-de-maladies-cardiaques-et-renales/")</f>
        <v>https://www.algeriemondeinfos.com/etude-une-alimentation-riche-en-fruits-et-legumes-peut-reduire-le-risque-de-maladies-cardiaques-et-renales/</v>
      </c>
      <c r="C2455" s="2" t="s">
        <v>333</v>
      </c>
      <c r="D2455" s="3">
        <v>45515.740636574083</v>
      </c>
      <c r="E2455" s="2" t="s">
        <v>334</v>
      </c>
    </row>
    <row r="2456" spans="1:5" ht="84" x14ac:dyDescent="0.2">
      <c r="A2456" s="2" t="s">
        <v>406</v>
      </c>
      <c r="B2456" s="2" t="str">
        <f>HYPERLINK("https://pressnewsagency.org/diet-high-in-fruits-vegetables-may-reduce-heart-kidney-disease-risk-study-finds/")</f>
        <v>https://pressnewsagency.org/diet-high-in-fruits-vegetables-may-reduce-heart-kidney-disease-risk-study-finds/</v>
      </c>
      <c r="C2456" s="2" t="s">
        <v>394</v>
      </c>
      <c r="D2456" s="3">
        <v>45515.7965625</v>
      </c>
      <c r="E2456" s="2" t="s">
        <v>407</v>
      </c>
    </row>
    <row r="2457" spans="1:5" ht="409.6" x14ac:dyDescent="0.2">
      <c r="A2457" s="2" t="s">
        <v>1340</v>
      </c>
      <c r="B2457" s="2" t="str">
        <f>HYPERLINK("https://www.inhetnieuws.nl/nieuws/voeding/kamala-harris-is-een-gezonde-en-sociale-foodie/13217825")</f>
        <v>https://www.inhetnieuws.nl/nieuws/voeding/kamala-harris-is-een-gezonde-en-sociale-foodie/13217825</v>
      </c>
      <c r="C2457" s="2" t="s">
        <v>3980</v>
      </c>
      <c r="D2457" s="3">
        <v>45516</v>
      </c>
      <c r="E2457" s="2" t="s">
        <v>3981</v>
      </c>
    </row>
    <row r="2458" spans="1:5" ht="112" x14ac:dyDescent="0.2">
      <c r="A2458" s="2" t="s">
        <v>713</v>
      </c>
      <c r="B2458" s="2" t="str">
        <f>HYPERLINK("https://reportwire.org/a-diet-high-in-fruits-and-vegetables-may-reduce-your-heart-and-kidney-disease-risk-study-says/")</f>
        <v>https://reportwire.org/a-diet-high-in-fruits-and-vegetables-may-reduce-your-heart-and-kidney-disease-risk-study-says/</v>
      </c>
      <c r="C2458" s="2" t="s">
        <v>710</v>
      </c>
      <c r="D2458" s="3">
        <v>45516.011817129627</v>
      </c>
      <c r="E2458" s="2" t="s">
        <v>714</v>
      </c>
    </row>
    <row r="2459" spans="1:5" ht="84" x14ac:dyDescent="0.2">
      <c r="A2459" s="2" t="s">
        <v>1340</v>
      </c>
      <c r="B2459" s="2" t="str">
        <f>HYPERLINK("https://www.foodlog.nl/artikel/flash/kamala-harris-is-een-gezonde-en-sociale-foodie/")</f>
        <v>https://www.foodlog.nl/artikel/flash/kamala-harris-is-een-gezonde-en-sociale-foodie/</v>
      </c>
      <c r="C2459" s="2" t="s">
        <v>1891</v>
      </c>
      <c r="D2459" s="3">
        <v>45516.230532407397</v>
      </c>
      <c r="E2459" s="2" t="s">
        <v>1979</v>
      </c>
    </row>
    <row r="2460" spans="1:5" ht="112" x14ac:dyDescent="0.2">
      <c r="A2460" s="2" t="s">
        <v>1340</v>
      </c>
      <c r="B2460" s="2" t="str">
        <f>HYPERLINK("https://vnexplorer.net/z/1802057.html")</f>
        <v>https://vnexplorer.net/z/1802057.html</v>
      </c>
      <c r="C2460" s="2" t="s">
        <v>1334</v>
      </c>
      <c r="D2460" s="3">
        <v>45516.264467592591</v>
      </c>
      <c r="E2460" s="2" t="s">
        <v>1341</v>
      </c>
    </row>
    <row r="2461" spans="1:5" ht="84" x14ac:dyDescent="0.2">
      <c r="A2461" s="2" t="s">
        <v>370</v>
      </c>
      <c r="B2461" s="2" t="str">
        <f>HYPERLINK("https://www.enfoquenow.com/es-saludable-la-kombucha-expertos-analizan-beneficios-de-la-bebida-de-moda/")</f>
        <v>https://www.enfoquenow.com/es-saludable-la-kombucha-expertos-analizan-beneficios-de-la-bebida-de-moda/</v>
      </c>
      <c r="C2461" s="2" t="s">
        <v>371</v>
      </c>
      <c r="D2461" s="3">
        <v>45516.392916666657</v>
      </c>
      <c r="E2461" s="2" t="s">
        <v>372</v>
      </c>
    </row>
    <row r="2462" spans="1:5" ht="112" x14ac:dyDescent="0.2">
      <c r="A2462" s="2" t="s">
        <v>2614</v>
      </c>
      <c r="B2462" s="2" t="str">
        <f>HYPERLINK("https://www.thegrocer.co.uk/health/can-food-brands-survive-the-rise-of-ozempic/694371.article")</f>
        <v>https://www.thegrocer.co.uk/health/can-food-brands-survive-the-rise-of-ozempic/694371.article</v>
      </c>
      <c r="C2462" s="2" t="s">
        <v>2615</v>
      </c>
      <c r="D2462" s="3">
        <v>45517</v>
      </c>
      <c r="E2462" s="2" t="s">
        <v>2616</v>
      </c>
    </row>
    <row r="2463" spans="1:5" ht="84" x14ac:dyDescent="0.2">
      <c r="A2463" s="2" t="s">
        <v>1988</v>
      </c>
      <c r="B2463" s="2" t="str">
        <f>HYPERLINK("https://foodprint.org/blog/food-safety-failures-listeria-in-deli-meat/")</f>
        <v>https://foodprint.org/blog/food-safety-failures-listeria-in-deli-meat/</v>
      </c>
      <c r="C2463" s="2" t="s">
        <v>1989</v>
      </c>
      <c r="D2463" s="3">
        <v>45517.464016203703</v>
      </c>
      <c r="E2463" s="2" t="s">
        <v>1990</v>
      </c>
    </row>
    <row r="2464" spans="1:5" ht="70" x14ac:dyDescent="0.2">
      <c r="A2464" s="2" t="s">
        <v>3353</v>
      </c>
      <c r="B2464" s="2" t="str">
        <f>HYPERLINK("https://www.nzherald.co.nz/lifestyle/why-exactly-are-ultraprocessed-foods-so-hard-to-resist-this-study-is-trying-to-find-out/VV4GHPTZ5BH2PHZOJHP5NR674I/")</f>
        <v>https://www.nzherald.co.nz/lifestyle/why-exactly-are-ultraprocessed-foods-so-hard-to-resist-this-study-is-trying-to-find-out/VV4GHPTZ5BH2PHZOJHP5NR674I/</v>
      </c>
      <c r="C2464" s="2" t="s">
        <v>3352</v>
      </c>
      <c r="D2464" s="3">
        <v>45518.046122685177</v>
      </c>
      <c r="E2464" s="2" t="s">
        <v>2805</v>
      </c>
    </row>
    <row r="2465" spans="1:5" ht="252" x14ac:dyDescent="0.2">
      <c r="A2465" s="2" t="s">
        <v>2869</v>
      </c>
      <c r="B2465" s="2" t="str">
        <f>HYPERLINK("https://www.reporteindigo.com/piensa/nestle-mexico-universidad-anahuac-mexico-catedra-nutricion/")</f>
        <v>https://www.reporteindigo.com/piensa/nestle-mexico-universidad-anahuac-mexico-catedra-nutricion/</v>
      </c>
      <c r="C2465" s="2" t="s">
        <v>2870</v>
      </c>
      <c r="D2465" s="3">
        <v>45518.146874999999</v>
      </c>
      <c r="E2465" s="2" t="s">
        <v>2871</v>
      </c>
    </row>
    <row r="2466" spans="1:5" ht="70" x14ac:dyDescent="0.2">
      <c r="A2466" s="2" t="s">
        <v>3290</v>
      </c>
      <c r="B2466" s="2" t="str">
        <f>HYPERLINK("https://eklinika.telegraf.rs/ishrana/129284-da-li-meso-peceno-na-rostilju-povecava-rizik-od-raka")</f>
        <v>https://eklinika.telegraf.rs/ishrana/129284-da-li-meso-peceno-na-rostilju-povecava-rizik-od-raka</v>
      </c>
      <c r="C2466" s="2" t="s">
        <v>3291</v>
      </c>
      <c r="D2466" s="3">
        <v>45518.542071759257</v>
      </c>
      <c r="E2466" s="2" t="s">
        <v>3292</v>
      </c>
    </row>
    <row r="2467" spans="1:5" ht="56" x14ac:dyDescent="0.2">
      <c r="A2467" s="2" t="s">
        <v>312</v>
      </c>
      <c r="B2467" s="2" t="str">
        <f>HYPERLINK("http://fmalpina.com.ar/articulo/por-que-es-tan-dificil-resistirse-a-los-alimentos-ultraprocesados.php")</f>
        <v>http://fmalpina.com.ar/articulo/por-que-es-tan-dificil-resistirse-a-los-alimentos-ultraprocesados.php</v>
      </c>
      <c r="C2467" s="2" t="s">
        <v>313</v>
      </c>
      <c r="D2467" s="3">
        <v>45519</v>
      </c>
      <c r="E2467" s="2" t="s">
        <v>314</v>
      </c>
    </row>
    <row r="2468" spans="1:5" ht="56" x14ac:dyDescent="0.2">
      <c r="A2468" s="2" t="s">
        <v>312</v>
      </c>
      <c r="B2468" s="2" t="str">
        <f>HYPERLINK("http://universoturadio.com.ar/articulo/por-que-es-tan-dificil-resistirse-a-los-alimentos-ultraprocesados.php")</f>
        <v>http://universoturadio.com.ar/articulo/por-que-es-tan-dificil-resistirse-a-los-alimentos-ultraprocesados.php</v>
      </c>
      <c r="C2468" s="2" t="s">
        <v>443</v>
      </c>
      <c r="D2468" s="3">
        <v>45519</v>
      </c>
      <c r="E2468" s="2" t="s">
        <v>314</v>
      </c>
    </row>
    <row r="2469" spans="1:5" ht="56" x14ac:dyDescent="0.2">
      <c r="A2469" s="2" t="s">
        <v>679</v>
      </c>
      <c r="B2469" s="2" t="str">
        <f>HYPERLINK("https://www.nytimes.com/es/2024/08/15/espanol/alimentos-ultraprocesados.html")</f>
        <v>https://www.nytimes.com/es/2024/08/15/espanol/alimentos-ultraprocesados.html</v>
      </c>
      <c r="C2469" s="2" t="s">
        <v>3714</v>
      </c>
      <c r="D2469" s="3">
        <v>45519.134814814817</v>
      </c>
      <c r="E2469" s="2" t="s">
        <v>3694</v>
      </c>
    </row>
    <row r="2470" spans="1:5" ht="42" x14ac:dyDescent="0.2">
      <c r="A2470" s="2" t="s">
        <v>1263</v>
      </c>
      <c r="B2470" s="2" t="str">
        <f>HYPERLINK("https://www.flowmagazine.gr/oi-10-diatrofikoi-muthoi-pou-oi-eidikoi-theloun-na-kataripsoun/")</f>
        <v>https://www.flowmagazine.gr/oi-10-diatrofikoi-muthoi-pou-oi-eidikoi-theloun-na-kataripsoun/</v>
      </c>
      <c r="C2470" s="2" t="s">
        <v>1261</v>
      </c>
      <c r="D2470" s="3">
        <v>45519.262071759258</v>
      </c>
      <c r="E2470" s="2" t="s">
        <v>1264</v>
      </c>
    </row>
    <row r="2471" spans="1:5" ht="56" x14ac:dyDescent="0.2">
      <c r="A2471" s="2" t="s">
        <v>679</v>
      </c>
      <c r="B2471" s="2" t="str">
        <f>HYPERLINK("https://es-us.noticias.yahoo.com/deportes/dif%C3%ADcil-resistirse-alimentos-ultraprocesados-161748388.html")</f>
        <v>https://es-us.noticias.yahoo.com/deportes/dif%C3%ADcil-resistirse-alimentos-ultraprocesados-161748388.html</v>
      </c>
      <c r="C2471" s="2" t="s">
        <v>3197</v>
      </c>
      <c r="D2471" s="3">
        <v>45519.512361111112</v>
      </c>
      <c r="E2471" s="2" t="s">
        <v>314</v>
      </c>
    </row>
    <row r="2472" spans="1:5" ht="56" x14ac:dyDescent="0.2">
      <c r="A2472" s="2" t="s">
        <v>679</v>
      </c>
      <c r="B2472" s="2" t="str">
        <f>HYPERLINK("https://radiodogo.com/noticias/por-que-es-tan-dificil-resistirse-a-los-alimentos-ultraprocesados/")</f>
        <v>https://radiodogo.com/noticias/por-que-es-tan-dificil-resistirse-a-los-alimentos-ultraprocesados/</v>
      </c>
      <c r="C2472" s="2" t="s">
        <v>680</v>
      </c>
      <c r="D2472" s="3">
        <v>45519.521539351852</v>
      </c>
      <c r="E2472" s="2" t="s">
        <v>314</v>
      </c>
    </row>
    <row r="2473" spans="1:5" ht="84" x14ac:dyDescent="0.2">
      <c r="A2473" s="2" t="s">
        <v>2571</v>
      </c>
      <c r="B2473" s="2" t="str">
        <f>HYPERLINK("https://www.inkl.com/news/what-caused-the-listeria-outbreak")</f>
        <v>https://www.inkl.com/news/what-caused-the-listeria-outbreak</v>
      </c>
      <c r="C2473" s="2" t="s">
        <v>2569</v>
      </c>
      <c r="D2473" s="3">
        <v>45519.521550925929</v>
      </c>
      <c r="E2473" s="2" t="s">
        <v>2572</v>
      </c>
    </row>
    <row r="2474" spans="1:5" ht="56" x14ac:dyDescent="0.2">
      <c r="A2474" s="2" t="s">
        <v>679</v>
      </c>
      <c r="B2474" s="2" t="str">
        <f>HYPERLINK("https://www.infobae.com/america/the-new-york-times/2024/08/15/por-que-es-tan-dificil-resistirse-a-los-alimentos-ultraprocesados/")</f>
        <v>https://www.infobae.com/america/the-new-york-times/2024/08/15/por-que-es-tan-dificil-resistirse-a-los-alimentos-ultraprocesados/</v>
      </c>
      <c r="C2474" s="2" t="s">
        <v>3689</v>
      </c>
      <c r="D2474" s="3">
        <v>45519.524398148147</v>
      </c>
      <c r="E2474" s="2" t="s">
        <v>3694</v>
      </c>
    </row>
    <row r="2475" spans="1:5" ht="84" x14ac:dyDescent="0.2">
      <c r="A2475" s="2" t="s">
        <v>1988</v>
      </c>
      <c r="B2475" s="2" t="str">
        <f>HYPERLINK("https://www.salon.com/2024/08/15/is-flawed-policy-responsible-for-listeria-in-deli-meats_partner/")</f>
        <v>https://www.salon.com/2024/08/15/is-flawed-policy-responsible-for-listeria-in-deli-meats_partner/</v>
      </c>
      <c r="C2475" s="2" t="s">
        <v>3316</v>
      </c>
      <c r="D2475" s="3">
        <v>45519.531168981477</v>
      </c>
      <c r="E2475" s="2" t="s">
        <v>2572</v>
      </c>
    </row>
    <row r="2476" spans="1:5" ht="56" x14ac:dyDescent="0.2">
      <c r="A2476" s="2" t="s">
        <v>679</v>
      </c>
      <c r="B2476" s="2" t="str">
        <f>HYPERLINK("https://lado.mx/noticia.php?id=16472225")</f>
        <v>https://lado.mx/noticia.php?id=16472225</v>
      </c>
      <c r="C2476" s="2" t="s">
        <v>1599</v>
      </c>
      <c r="D2476" s="3">
        <v>45519.586331018523</v>
      </c>
      <c r="E2476" s="2" t="s">
        <v>1259</v>
      </c>
    </row>
    <row r="2477" spans="1:5" ht="56" x14ac:dyDescent="0.2">
      <c r="A2477" s="2" t="s">
        <v>679</v>
      </c>
      <c r="B2477" s="2" t="str">
        <f>HYPERLINK("https://sinmordaza.com/noticia/409083-por-que-es-tan-dificil-resistirse-a-los-alimentos-ultraprocesados.html")</f>
        <v>https://sinmordaza.com/noticia/409083-por-que-es-tan-dificil-resistirse-a-los-alimentos-ultraprocesados.html</v>
      </c>
      <c r="C2477" s="2" t="s">
        <v>1777</v>
      </c>
      <c r="D2477" s="3">
        <v>45519.612164351849</v>
      </c>
      <c r="E2477" s="2" t="s">
        <v>1086</v>
      </c>
    </row>
    <row r="2478" spans="1:5" ht="56" x14ac:dyDescent="0.2">
      <c r="A2478" s="2" t="s">
        <v>2468</v>
      </c>
      <c r="B2478" s="2" t="str">
        <f>HYPERLINK("https://n.com.do/2024/08/15/por-que-es-tan-dificil-decirle-no-a-los-alimentos-ultraprocesados/")</f>
        <v>https://n.com.do/2024/08/15/por-que-es-tan-dificil-decirle-no-a-los-alimentos-ultraprocesados/</v>
      </c>
      <c r="C2478" s="2" t="s">
        <v>2469</v>
      </c>
      <c r="D2478" s="3">
        <v>45519.621122685188</v>
      </c>
      <c r="E2478" s="2" t="s">
        <v>1259</v>
      </c>
    </row>
    <row r="2479" spans="1:5" ht="56" x14ac:dyDescent="0.2">
      <c r="A2479" s="2" t="s">
        <v>679</v>
      </c>
      <c r="B2479" s="2" t="str">
        <f>HYPERLINK("https://elnoticierodigital.com.ar/2024/08/15/por-que-es-tan-dificil-resistirse-a-los-alimentos-ultraprocesados/")</f>
        <v>https://elnoticierodigital.com.ar/2024/08/15/por-que-es-tan-dificil-resistirse-a-los-alimentos-ultraprocesados/</v>
      </c>
      <c r="C2479" s="2" t="s">
        <v>1256</v>
      </c>
      <c r="D2479" s="3">
        <v>45519.626469907409</v>
      </c>
      <c r="E2479" s="2" t="s">
        <v>1259</v>
      </c>
    </row>
    <row r="2480" spans="1:5" ht="56" x14ac:dyDescent="0.2">
      <c r="A2480" s="2" t="s">
        <v>312</v>
      </c>
      <c r="B2480" s="2" t="str">
        <f>HYPERLINK("https://es-us.noticias.yahoo.com/dif%C3%ADcil-resistirse-alimentos-ultraprocesados-195813127.html")</f>
        <v>https://es-us.noticias.yahoo.com/dif%C3%ADcil-resistirse-alimentos-ultraprocesados-195813127.html</v>
      </c>
      <c r="C2480" s="2" t="s">
        <v>3197</v>
      </c>
      <c r="D2480" s="3">
        <v>45519.66542824074</v>
      </c>
      <c r="E2480" s="2" t="s">
        <v>314</v>
      </c>
    </row>
    <row r="2481" spans="1:5" ht="56" x14ac:dyDescent="0.2">
      <c r="A2481" s="2" t="s">
        <v>312</v>
      </c>
      <c r="B2481" s="2" t="str">
        <f>HYPERLINK("https://www.lanacion.com.ar/sociedad/por-que-es-tan-dificil-resistirse-a-los-alimentos-ultraprocesados-nid15082024/")</f>
        <v>https://www.lanacion.com.ar/sociedad/por-que-es-tan-dificil-resistirse-a-los-alimentos-ultraprocesados-nid15082024/</v>
      </c>
      <c r="C2481" s="2" t="s">
        <v>3623</v>
      </c>
      <c r="D2481" s="3">
        <v>45519.668194444443</v>
      </c>
      <c r="E2481" s="2" t="s">
        <v>314</v>
      </c>
    </row>
    <row r="2482" spans="1:5" ht="56" x14ac:dyDescent="0.2">
      <c r="A2482" s="2" t="s">
        <v>312</v>
      </c>
      <c r="B2482" s="2" t="str">
        <f>HYPERLINK("https://argentinos.es/por-que-es-tan-dificil-resistirse-a-los-alimentos-ultraprocesados/")</f>
        <v>https://argentinos.es/por-que-es-tan-dificil-resistirse-a-los-alimentos-ultraprocesados/</v>
      </c>
      <c r="C2482" s="2" t="s">
        <v>531</v>
      </c>
      <c r="D2482" s="3">
        <v>45519.688854166663</v>
      </c>
      <c r="E2482" s="2" t="s">
        <v>314</v>
      </c>
    </row>
    <row r="2483" spans="1:5" ht="56" x14ac:dyDescent="0.2">
      <c r="A2483" s="2" t="s">
        <v>2094</v>
      </c>
      <c r="B2483" s="2" t="str">
        <f>HYPERLINK("https://www.atb.com.bo/2024/08/15/investigadores-explican-por-que-es-dificil-resistirse-a-los-alimentos-ultraprocesados/")</f>
        <v>https://www.atb.com.bo/2024/08/15/investigadores-explican-por-que-es-dificil-resistirse-a-los-alimentos-ultraprocesados/</v>
      </c>
      <c r="C2483" s="2" t="s">
        <v>2093</v>
      </c>
      <c r="D2483" s="3">
        <v>45519.704895833333</v>
      </c>
      <c r="E2483" s="2" t="s">
        <v>1259</v>
      </c>
    </row>
    <row r="2484" spans="1:5" ht="70" x14ac:dyDescent="0.2">
      <c r="A2484" s="2" t="s">
        <v>1084</v>
      </c>
      <c r="B2484" s="2" t="str">
        <f>HYPERLINK("https://macronews.mx/curiosidades/nota-curiosa/alimentos-ultraprocesados-representan-el-58-de-calorias-diarias-en-eu-y-podrian-aumentar-peso-y-enfermedades/")</f>
        <v>https://macronews.mx/curiosidades/nota-curiosa/alimentos-ultraprocesados-representan-el-58-de-calorias-diarias-en-eu-y-podrian-aumentar-peso-y-enfermedades/</v>
      </c>
      <c r="C2484" s="2" t="s">
        <v>1085</v>
      </c>
      <c r="D2484" s="3">
        <v>45519.847037037027</v>
      </c>
      <c r="E2484" s="2" t="s">
        <v>1086</v>
      </c>
    </row>
    <row r="2485" spans="1:5" ht="56" x14ac:dyDescent="0.2">
      <c r="A2485" s="2" t="s">
        <v>679</v>
      </c>
      <c r="B2485" s="2" t="str">
        <f>HYPERLINK("https://jnn-digital.blogspot.com/2024/08/por-que-es-tan-dificil-resistirse-los.html")</f>
        <v>https://jnn-digital.blogspot.com/2024/08/por-que-es-tan-dificil-resistirse-los.html</v>
      </c>
      <c r="C2485" s="2" t="s">
        <v>3979</v>
      </c>
      <c r="D2485" s="3">
        <v>45519.972916666673</v>
      </c>
      <c r="E2485" s="2" t="s">
        <v>1259</v>
      </c>
    </row>
    <row r="2486" spans="1:5" ht="84" x14ac:dyDescent="0.2">
      <c r="A2486" s="2" t="s">
        <v>3229</v>
      </c>
      <c r="B2486" s="2" t="str">
        <f>HYPERLINK("https://www.newsbeast.gr/health/prolipsi-therapeia/arthro/11524548/borei-pragmatika-to-psisimo-tou-kreatos-na-afxisei-ton-kindyno-tou-karkinou-oi-eidikoi-apantoun")</f>
        <v>https://www.newsbeast.gr/health/prolipsi-therapeia/arthro/11524548/borei-pragmatika-to-psisimo-tou-kreatos-na-afxisei-ton-kindyno-tou-karkinou-oi-eidikoi-apantoun</v>
      </c>
      <c r="C2486" s="2" t="s">
        <v>3230</v>
      </c>
      <c r="D2486" s="3">
        <v>45520.021527777782</v>
      </c>
      <c r="E2486" s="2" t="s">
        <v>3231</v>
      </c>
    </row>
    <row r="2487" spans="1:5" ht="56" x14ac:dyDescent="0.2">
      <c r="A2487" s="2" t="s">
        <v>3409</v>
      </c>
      <c r="B2487" s="2" t="str">
        <f>HYPERLINK("https://noticias.r7.com/saude/estudo-tenta-descobrir-por-que-os-alimentos-ultraprocessados-sao-tao-irresistiveis-16082024/")</f>
        <v>https://noticias.r7.com/saude/estudo-tenta-descobrir-por-que-os-alimentos-ultraprocessados-sao-tao-irresistiveis-16082024/</v>
      </c>
      <c r="C2487" s="2" t="s">
        <v>3407</v>
      </c>
      <c r="D2487" s="3">
        <v>45520.208344907413</v>
      </c>
      <c r="E2487" s="2" t="s">
        <v>3410</v>
      </c>
    </row>
    <row r="2488" spans="1:5" ht="56" x14ac:dyDescent="0.2">
      <c r="A2488" s="2" t="s">
        <v>679</v>
      </c>
      <c r="B2488" s="2" t="str">
        <f>HYPERLINK("https://www.atb.com.bo/2024/08/16/por-que-es-tan-dificil-resistirse-a-los-alimentos-ultraprocesados/")</f>
        <v>https://www.atb.com.bo/2024/08/16/por-que-es-tan-dificil-resistirse-a-los-alimentos-ultraprocesados/</v>
      </c>
      <c r="C2488" s="2" t="s">
        <v>2093</v>
      </c>
      <c r="D2488" s="3">
        <v>45520.40929398148</v>
      </c>
      <c r="E2488" s="2" t="s">
        <v>1086</v>
      </c>
    </row>
    <row r="2489" spans="1:5" ht="70" x14ac:dyDescent="0.2">
      <c r="A2489" s="2" t="s">
        <v>993</v>
      </c>
      <c r="B2489" s="2" t="str">
        <f>HYPERLINK("https://www.infobae.com/salud/2024/08/16/una-dieta-rica-en-frutas-y-verduras-ayuda-a-prevenir-enfermedades-cardiacas-y-renales/")</f>
        <v>https://www.infobae.com/salud/2024/08/16/una-dieta-rica-en-frutas-y-verduras-ayuda-a-prevenir-enfermedades-cardiacas-y-renales/</v>
      </c>
      <c r="C2489" s="2" t="s">
        <v>3689</v>
      </c>
      <c r="D2489" s="3">
        <v>45520.424675925933</v>
      </c>
      <c r="E2489" s="2" t="s">
        <v>994</v>
      </c>
    </row>
    <row r="2490" spans="1:5" ht="70" x14ac:dyDescent="0.2">
      <c r="A2490" s="2" t="s">
        <v>993</v>
      </c>
      <c r="B2490" s="2" t="str">
        <f>HYPERLINK("https://lado.mx/noticia.php?id=16478963")</f>
        <v>https://lado.mx/noticia.php?id=16478963</v>
      </c>
      <c r="C2490" s="2" t="s">
        <v>1599</v>
      </c>
      <c r="D2490" s="3">
        <v>45520.435185185182</v>
      </c>
      <c r="E2490" s="2" t="s">
        <v>994</v>
      </c>
    </row>
    <row r="2491" spans="1:5" ht="56" x14ac:dyDescent="0.2">
      <c r="A2491" s="2" t="s">
        <v>679</v>
      </c>
      <c r="B2491" s="2" t="str">
        <f>HYPERLINK("https://vanguardia.com.mx/noticias/por-que-es-tan-dificil-resistirse-a-los-alimentos-ultraprocesados-DO12942706")</f>
        <v>https://vanguardia.com.mx/noticias/por-que-es-tan-dificil-resistirse-a-los-alimentos-ultraprocesados-DO12942706</v>
      </c>
      <c r="C2491" s="2" t="s">
        <v>3178</v>
      </c>
      <c r="D2491" s="3">
        <v>45521.49255787037</v>
      </c>
      <c r="E2491" s="2" t="s">
        <v>314</v>
      </c>
    </row>
    <row r="2492" spans="1:5" ht="112" x14ac:dyDescent="0.2">
      <c r="A2492" s="2" t="s">
        <v>713</v>
      </c>
      <c r="B2492" s="2" t="str">
        <f>HYPERLINK("https://health-reporter.news/a-diet-high-in-fruits-and-vegetables-may-reduce-your-heart-and-kidney-disease-risk-study-says-2/")</f>
        <v>https://health-reporter.news/a-diet-high-in-fruits-and-vegetables-may-reduce-your-heart-and-kidney-disease-risk-study-says-2/</v>
      </c>
      <c r="C2492" s="2" t="s">
        <v>222</v>
      </c>
      <c r="D2492" s="3">
        <v>45521.565682870372</v>
      </c>
      <c r="E2492" s="2" t="s">
        <v>714</v>
      </c>
    </row>
    <row r="2493" spans="1:5" ht="56" x14ac:dyDescent="0.2">
      <c r="A2493" s="2" t="s">
        <v>3409</v>
      </c>
      <c r="B2493" s="2" t="str">
        <f>HYPERLINK("https://marcioantoniassi.wordpress.com/2024/08/20/estudo-tenta-descobrir-por-que-os-alimentos-ultraprocessados-sao-tao-irresistiveis/")</f>
        <v>https://marcioantoniassi.wordpress.com/2024/08/20/estudo-tenta-descobrir-por-que-os-alimentos-ultraprocessados-sao-tao-irresistiveis/</v>
      </c>
      <c r="C2493" s="2" t="s">
        <v>3982</v>
      </c>
      <c r="D2493" s="3">
        <v>45524.458333333343</v>
      </c>
      <c r="E2493" s="2" t="s">
        <v>3410</v>
      </c>
    </row>
    <row r="2494" spans="1:5" ht="70" x14ac:dyDescent="0.2">
      <c r="A2494" s="2" t="s">
        <v>4191</v>
      </c>
      <c r="B2494" s="2" t="str">
        <f>HYPERLINK("https://wherethefoodcomesfrom.com/the-fdas-revolving-door-the-loophole-in-influence-an-ongoing-concern/")</f>
        <v>https://wherethefoodcomesfrom.com/the-fdas-revolving-door-the-loophole-in-influence-an-ongoing-concern/</v>
      </c>
      <c r="C2494" s="2" t="s">
        <v>3746</v>
      </c>
      <c r="D2494" s="3">
        <v>45525.4299537037</v>
      </c>
      <c r="E2494" s="2" t="s">
        <v>3747</v>
      </c>
    </row>
    <row r="2495" spans="1:5" ht="56" x14ac:dyDescent="0.2">
      <c r="A2495" s="2" t="s">
        <v>3504</v>
      </c>
      <c r="B2495" s="2" t="str">
        <f>HYPERLINK("http://www.ft.com/cms/5f4e0538-10a4-4c8f-bc3c-28f255f20f0b.html?FTCamp=engage/CAPI/website/Channel_muckrack//B2B")</f>
        <v>http://www.ft.com/cms/5f4e0538-10a4-4c8f-bc3c-28f255f20f0b.html?FTCamp=engage/CAPI/website/Channel_muckrack//B2B</v>
      </c>
      <c r="C2495" s="2" t="s">
        <v>3505</v>
      </c>
      <c r="D2495" s="3">
        <v>45526.166990740741</v>
      </c>
      <c r="E2495" s="2"/>
    </row>
    <row r="2496" spans="1:5" ht="70" x14ac:dyDescent="0.2">
      <c r="A2496" s="2" t="s">
        <v>993</v>
      </c>
      <c r="B2496" s="2" t="str">
        <f>HYPERLINK("https://www.alfa-editores.com.mx/una-dieta-rica-en-frutas-y-verduras-ayuda-a-prevenir-enfermedades-cardiacas-y-renales/")</f>
        <v>https://www.alfa-editores.com.mx/una-dieta-rica-en-frutas-y-verduras-ayuda-a-prevenir-enfermedades-cardiacas-y-renales/</v>
      </c>
      <c r="C2496" s="2" t="s">
        <v>991</v>
      </c>
      <c r="D2496" s="3">
        <v>45526.441921296297</v>
      </c>
      <c r="E2496" s="2" t="s">
        <v>994</v>
      </c>
    </row>
    <row r="2497" spans="1:5" ht="56" x14ac:dyDescent="0.2">
      <c r="A2497" s="2" t="s">
        <v>1559</v>
      </c>
      <c r="B2497" s="2" t="str">
        <f>HYPERLINK("https://www.blogarama.com/blogging-blogs/1354772-trends-wide-blog/61111962-beware-yogurt-may-contain-much-sugar-cookies-lifestyle")</f>
        <v>https://www.blogarama.com/blogging-blogs/1354772-trends-wide-blog/61111962-beware-yogurt-may-contain-much-sugar-cookies-lifestyle</v>
      </c>
      <c r="C2497" s="2" t="s">
        <v>1554</v>
      </c>
      <c r="D2497" s="3">
        <v>45527</v>
      </c>
      <c r="E2497" s="2" t="s">
        <v>1560</v>
      </c>
    </row>
    <row r="2498" spans="1:5" ht="56" x14ac:dyDescent="0.2">
      <c r="A2498" s="2" t="s">
        <v>2428</v>
      </c>
      <c r="B2498" s="2" t="str">
        <f>HYPERLINK("https://news.berkeley.edu/2024/08/23/berkeley-talks-michael-pollan/")</f>
        <v>https://news.berkeley.edu/2024/08/23/berkeley-talks-michael-pollan/</v>
      </c>
      <c r="C2498" s="2" t="s">
        <v>2429</v>
      </c>
      <c r="D2498" s="3">
        <v>45527.39267361111</v>
      </c>
      <c r="E2498" s="2" t="s">
        <v>2430</v>
      </c>
    </row>
    <row r="2499" spans="1:5" ht="84" x14ac:dyDescent="0.2">
      <c r="A2499" s="2" t="s">
        <v>2595</v>
      </c>
      <c r="B2499" s="2" t="str">
        <f>HYPERLINK("https://www.el.gr/ygeia/stin-koryfi-to-magnisio-gia-tin-ygeia-t/")</f>
        <v>https://www.el.gr/ygeia/stin-koryfi-to-magnisio-gia-tin-ygeia-t/</v>
      </c>
      <c r="C2499" s="2" t="s">
        <v>2596</v>
      </c>
      <c r="D2499" s="3">
        <v>45527.557025462957</v>
      </c>
      <c r="E2499" s="2" t="s">
        <v>2597</v>
      </c>
    </row>
    <row r="2500" spans="1:5" ht="70" x14ac:dyDescent="0.2">
      <c r="A2500" s="2" t="s">
        <v>2752</v>
      </c>
      <c r="B2500" s="2" t="str">
        <f>HYPERLINK("https://www.ajc.com/news/health-news/is-there-really-such-a-thing-as-a-healthy-soda/BCBVMIPKSVHATGQFOOZXT5HYSI/")</f>
        <v>https://www.ajc.com/news/health-news/is-there-really-such-a-thing-as-a-healthy-soda/BCBVMIPKSVHATGQFOOZXT5HYSI/</v>
      </c>
      <c r="C2500" s="2" t="s">
        <v>3244</v>
      </c>
      <c r="D2500" s="3">
        <v>45529.247187499997</v>
      </c>
      <c r="E2500" s="2" t="s">
        <v>2753</v>
      </c>
    </row>
    <row r="2501" spans="1:5" ht="182" x14ac:dyDescent="0.2">
      <c r="A2501" s="2" t="s">
        <v>1081</v>
      </c>
      <c r="B2501" s="2" t="str">
        <f>HYPERLINK("https://www.mandarinian.news/%E4%BB%A4%E4%BA%BA%E7%94%9F%E7%96%91%E7%9A%84%E6%96%B0%E4%BF%9D%E5%81%A5%E8%B6%8B%E5%8A%BF%EF%BC%9A%E7%8C%B4%E5%A4%B4%E8%8F%87/")</f>
        <v>https://www.mandarinian.news/%E4%BB%A4%E4%BA%BA%E7%94%9F%E7%96%91%E7%9A%84%E6%96%B0%E4%BF%9D%E5%81%A5%E8%B6%8B%E5%8A%BF%EF%BC%9A%E7%8C%B4%E5%A4%B4%E8%8F%87/</v>
      </c>
      <c r="C2501" s="2" t="s">
        <v>1079</v>
      </c>
      <c r="D2501" s="3">
        <v>45529.263541666667</v>
      </c>
      <c r="E2501" s="2" t="s">
        <v>1082</v>
      </c>
    </row>
    <row r="2502" spans="1:5" ht="126" x14ac:dyDescent="0.2">
      <c r="A2502" s="2" t="s">
        <v>3651</v>
      </c>
      <c r="B2502" s="2" t="str">
        <f>HYPERLINK("https://c.m.163.com/news/a/JAHU8SJL0553TDUQ.html")</f>
        <v>https://c.m.163.com/news/a/JAHU8SJL0553TDUQ.html</v>
      </c>
      <c r="C2502" s="2" t="s">
        <v>3652</v>
      </c>
      <c r="D2502" s="3">
        <v>45530.393425925933</v>
      </c>
      <c r="E2502" s="2" t="s">
        <v>3653</v>
      </c>
    </row>
    <row r="2503" spans="1:5" ht="70" x14ac:dyDescent="0.2">
      <c r="A2503" s="2" t="s">
        <v>2441</v>
      </c>
      <c r="B2503" s="2" t="str">
        <f>HYPERLINK("https://thefoodtech.com/industria-alimentaria-hoy/impulsar-un-futuro-sustentable-para-la-industria-de-alimentos-el-objetivo-del-innovation-day-de-nestle/")</f>
        <v>https://thefoodtech.com/industria-alimentaria-hoy/impulsar-un-futuro-sustentable-para-la-industria-de-alimentos-el-objetivo-del-innovation-day-de-nestle/</v>
      </c>
      <c r="C2503" s="2" t="s">
        <v>2442</v>
      </c>
      <c r="D2503" s="3">
        <v>45530.584456018521</v>
      </c>
      <c r="E2503" s="2" t="s">
        <v>2443</v>
      </c>
    </row>
    <row r="2504" spans="1:5" ht="384" x14ac:dyDescent="0.2">
      <c r="A2504" s="2" t="s">
        <v>1490</v>
      </c>
      <c r="B2504" s="2" t="str">
        <f>HYPERLINK("https://opentodebate.org/newsletter-does-effective-altruism-get-giving-right/")</f>
        <v>https://opentodebate.org/newsletter-does-effective-altruism-get-giving-right/</v>
      </c>
      <c r="C2504" s="2" t="s">
        <v>1491</v>
      </c>
      <c r="D2504" s="3">
        <v>45530.630706018521</v>
      </c>
      <c r="E2504" s="2" t="s">
        <v>1492</v>
      </c>
    </row>
    <row r="2505" spans="1:5" ht="84" x14ac:dyDescent="0.2">
      <c r="A2505" s="2" t="s">
        <v>3469</v>
      </c>
      <c r="B2505" s="2" t="str">
        <f>HYPERLINK("https://news.detik.com/kolom/d-7509685/menanti-regulasi-konsumsi-gula")</f>
        <v>https://news.detik.com/kolom/d-7509685/menanti-regulasi-konsumsi-gula</v>
      </c>
      <c r="C2505" s="2" t="s">
        <v>3470</v>
      </c>
      <c r="D2505" s="3">
        <v>45531.208807870367</v>
      </c>
      <c r="E2505" s="2" t="s">
        <v>3471</v>
      </c>
    </row>
    <row r="2506" spans="1:5" ht="56" x14ac:dyDescent="0.2">
      <c r="A2506" s="2" t="s">
        <v>3348</v>
      </c>
      <c r="B2506" s="2" t="str">
        <f>HYPERLINK("https://www.outlookindia.com/international/us/are-ultraprocessed-foods-really-bad-know-these-things-before-discarding-them")</f>
        <v>https://www.outlookindia.com/international/us/are-ultraprocessed-foods-really-bad-know-these-things-before-discarding-them</v>
      </c>
      <c r="C2506" s="2" t="s">
        <v>3349</v>
      </c>
      <c r="D2506" s="3">
        <v>45531.487928240742</v>
      </c>
      <c r="E2506" s="2" t="s">
        <v>3350</v>
      </c>
    </row>
    <row r="2507" spans="1:5" ht="98" x14ac:dyDescent="0.2">
      <c r="A2507" s="2" t="s">
        <v>547</v>
      </c>
      <c r="B2507" s="2" t="str">
        <f>HYPERLINK("https://thewayneherald.com/premium/stories/from-added-sugar-to-sodium-here039s-how-us-dietary-recommendations-have-changed-over-the-last,87464")</f>
        <v>https://thewayneherald.com/premium/stories/from-added-sugar-to-sodium-here039s-how-us-dietary-recommendations-have-changed-over-the-last,87464</v>
      </c>
      <c r="C2507" s="2" t="s">
        <v>548</v>
      </c>
      <c r="D2507" s="3">
        <v>45532</v>
      </c>
      <c r="E2507" s="2" t="s">
        <v>354</v>
      </c>
    </row>
    <row r="2508" spans="1:5" ht="98" x14ac:dyDescent="0.2">
      <c r="A2508" s="2" t="s">
        <v>892</v>
      </c>
      <c r="B2508" s="2" t="str">
        <f>HYPERLINK("https://www.t-g.com/premium/stories/from-added-sugar-to-sodium-here039s-how-us-dietary-recommendations-have-changed-over-the-last,141496")</f>
        <v>https://www.t-g.com/premium/stories/from-added-sugar-to-sodium-here039s-how-us-dietary-recommendations-have-changed-over-the-last,141496</v>
      </c>
      <c r="C2508" s="2" t="s">
        <v>893</v>
      </c>
      <c r="D2508" s="3">
        <v>45532</v>
      </c>
      <c r="E2508" s="2" t="s">
        <v>354</v>
      </c>
    </row>
    <row r="2509" spans="1:5" ht="98" x14ac:dyDescent="0.2">
      <c r="A2509" s="2" t="s">
        <v>1140</v>
      </c>
      <c r="B2509" s="2" t="str">
        <f>HYPERLINK("https://johnstonsunrise.net/stories/from-added-sugar-to-sodium-here039s-how-us-dietary-recommendations-have-changed-over-the-last,262364")</f>
        <v>https://johnstonsunrise.net/stories/from-added-sugar-to-sodium-here039s-how-us-dietary-recommendations-have-changed-over-the-last,262364</v>
      </c>
      <c r="C2509" s="2" t="s">
        <v>1141</v>
      </c>
      <c r="D2509" s="3">
        <v>45532</v>
      </c>
      <c r="E2509" s="2" t="s">
        <v>354</v>
      </c>
    </row>
    <row r="2510" spans="1:5" ht="98" x14ac:dyDescent="0.2">
      <c r="A2510" s="2" t="s">
        <v>1357</v>
      </c>
      <c r="B2510" s="2" t="str">
        <f>HYPERLINK("https://warwickonline.com/stories/from-added-sugar-to-sodium-here039s-how-us-dietary-recommendations-have-changed-over-the-last,262364")</f>
        <v>https://warwickonline.com/stories/from-added-sugar-to-sodium-here039s-how-us-dietary-recommendations-have-changed-over-the-last,262364</v>
      </c>
      <c r="C2510" s="2" t="s">
        <v>1358</v>
      </c>
      <c r="D2510" s="3">
        <v>45532</v>
      </c>
      <c r="E2510" s="2" t="s">
        <v>354</v>
      </c>
    </row>
    <row r="2511" spans="1:5" ht="98" x14ac:dyDescent="0.2">
      <c r="A2511" s="2" t="s">
        <v>1887</v>
      </c>
      <c r="B2511" s="2" t="str">
        <f>HYPERLINK("https://www.northcountrynow.com/premium/stories/from-added-sugar-to-sodium-here039s-how-us-dietary-recommendations-have-changed-over-the-last,259073")</f>
        <v>https://www.northcountrynow.com/premium/stories/from-added-sugar-to-sodium-here039s-how-us-dietary-recommendations-have-changed-over-the-last,259073</v>
      </c>
      <c r="C2511" s="2" t="s">
        <v>1888</v>
      </c>
      <c r="D2511" s="3">
        <v>45532</v>
      </c>
      <c r="E2511" s="2" t="s">
        <v>354</v>
      </c>
    </row>
    <row r="2512" spans="1:5" ht="98" x14ac:dyDescent="0.2">
      <c r="A2512" s="2" t="s">
        <v>559</v>
      </c>
      <c r="B2512" s="2" t="str">
        <f>HYPERLINK("https://www.laconiadailysun.com/around_the_web/from-added-sugar-to-sodium-heres-how-us-dietary-recommendations-have-changed-over-the-last/collection_eb1121e3-3ebe-594e-83e5-dedfe97ef70f.html")</f>
        <v>https://www.laconiadailysun.com/around_the_web/from-added-sugar-to-sodium-heres-how-us-dietary-recommendations-have-changed-over-the-last/collection_eb1121e3-3ebe-594e-83e5-dedfe97ef70f.html</v>
      </c>
      <c r="C2512" s="2" t="s">
        <v>2032</v>
      </c>
      <c r="D2512" s="3">
        <v>45532</v>
      </c>
      <c r="E2512" s="2" t="s">
        <v>354</v>
      </c>
    </row>
    <row r="2513" spans="1:5" ht="98" x14ac:dyDescent="0.2">
      <c r="A2513" s="2" t="s">
        <v>2210</v>
      </c>
      <c r="B2513" s="2" t="str">
        <f>HYPERLINK("https://www.newscenter1.tv/news/how-us-dietary-recommendations-have-changed-over-the-last-50-years/collection_f790939c-91d3-59ce-ab29-8a97a522686e.html")</f>
        <v>https://www.newscenter1.tv/news/how-us-dietary-recommendations-have-changed-over-the-last-50-years/collection_f790939c-91d3-59ce-ab29-8a97a522686e.html</v>
      </c>
      <c r="C2513" s="2" t="s">
        <v>2211</v>
      </c>
      <c r="D2513" s="3">
        <v>45532</v>
      </c>
      <c r="E2513" s="2" t="s">
        <v>354</v>
      </c>
    </row>
    <row r="2514" spans="1:5" ht="98" x14ac:dyDescent="0.2">
      <c r="A2514" s="2" t="s">
        <v>559</v>
      </c>
      <c r="B2514" s="2" t="str">
        <f>HYPERLINK("https://www.dailygazette.com/life_and_arts/stacker/from-added-sugar-to-sodium-heres-how-us-dietary-recommendations-have-changed-over-the-last/collection_fe0ced9a-b3d8-5fb8-bcc3-8d585e2ded50.html")</f>
        <v>https://www.dailygazette.com/life_and_arts/stacker/from-added-sugar-to-sodium-heres-how-us-dietary-recommendations-have-changed-over-the-last/collection_fe0ced9a-b3d8-5fb8-bcc3-8d585e2ded50.html</v>
      </c>
      <c r="C2514" s="2" t="s">
        <v>2460</v>
      </c>
      <c r="D2514" s="3">
        <v>45532</v>
      </c>
      <c r="E2514" s="2" t="s">
        <v>354</v>
      </c>
    </row>
    <row r="2515" spans="1:5" ht="98" x14ac:dyDescent="0.2">
      <c r="A2515" s="2" t="s">
        <v>559</v>
      </c>
      <c r="B2515" s="2" t="str">
        <f>HYPERLINK("https://www.arcamax.com/entertainment/slideshowworld/s-3387750")</f>
        <v>https://www.arcamax.com/entertainment/slideshowworld/s-3387750</v>
      </c>
      <c r="C2515" s="2" t="s">
        <v>2841</v>
      </c>
      <c r="D2515" s="3">
        <v>45532</v>
      </c>
      <c r="E2515" s="2" t="s">
        <v>354</v>
      </c>
    </row>
    <row r="2516" spans="1:5" ht="98" x14ac:dyDescent="0.2">
      <c r="A2516" s="2" t="s">
        <v>559</v>
      </c>
      <c r="B2516" s="2" t="str">
        <f>HYPERLINK("https://stacker.com/health/added-sugar-sodium-heres-how-us-dietary-recommendations-have-changed-over-last-50-years")</f>
        <v>https://stacker.com/health/added-sugar-sodium-heres-how-us-dietary-recommendations-have-changed-over-last-50-years</v>
      </c>
      <c r="C2516" s="2" t="s">
        <v>2541</v>
      </c>
      <c r="D2516" s="3">
        <v>45532.385416666657</v>
      </c>
      <c r="E2516" s="2" t="s">
        <v>354</v>
      </c>
    </row>
    <row r="2517" spans="1:5" ht="98" x14ac:dyDescent="0.2">
      <c r="A2517" s="2" t="s">
        <v>559</v>
      </c>
      <c r="B2517" s="2" t="str">
        <f>HYPERLINK("https://www.aol.com/news/added-sugar-sodium-heres-us-131500120.html")</f>
        <v>https://www.aol.com/news/added-sugar-sodium-heres-us-131500120.html</v>
      </c>
      <c r="C2517" s="2" t="s">
        <v>3592</v>
      </c>
      <c r="D2517" s="3">
        <v>45532.385416666657</v>
      </c>
      <c r="E2517" s="2" t="s">
        <v>354</v>
      </c>
    </row>
    <row r="2518" spans="1:5" ht="98" x14ac:dyDescent="0.2">
      <c r="A2518" s="2" t="s">
        <v>559</v>
      </c>
      <c r="B2518" s="2" t="str">
        <f>HYPERLINK("https://www.aol.com/added-sugar-sodium-heres-us-131500120.html")</f>
        <v>https://www.aol.com/added-sugar-sodium-heres-us-131500120.html</v>
      </c>
      <c r="C2518" s="2" t="s">
        <v>3592</v>
      </c>
      <c r="D2518" s="3">
        <v>45532.385416666657</v>
      </c>
      <c r="E2518" s="2" t="s">
        <v>354</v>
      </c>
    </row>
    <row r="2519" spans="1:5" ht="98" x14ac:dyDescent="0.2">
      <c r="A2519" s="2" t="s">
        <v>559</v>
      </c>
      <c r="B2519" s="2" t="str">
        <f>HYPERLINK("https://www.digitaljournal.com/life/from-added-sugar-to-sodium-heres-how-us-dietary-recommendations-have-changed-over-the-last-50-years/article")</f>
        <v>https://www.digitaljournal.com/life/from-added-sugar-to-sodium-heres-how-us-dietary-recommendations-have-changed-over-the-last-50-years/article</v>
      </c>
      <c r="C2519" s="2" t="s">
        <v>2104</v>
      </c>
      <c r="D2519" s="3">
        <v>45532.430034722223</v>
      </c>
      <c r="E2519" s="2" t="s">
        <v>824</v>
      </c>
    </row>
    <row r="2520" spans="1:5" ht="98" x14ac:dyDescent="0.2">
      <c r="A2520" s="2" t="s">
        <v>559</v>
      </c>
      <c r="B2520" s="2" t="str">
        <f>HYPERLINK("https://www.digitaljournal.com/world/from-added-sugar-to-sodium-heres-how-us-dietary-recommendations-have-changed-over-the-last-50-years/article")</f>
        <v>https://www.digitaljournal.com/world/from-added-sugar-to-sodium-heres-how-us-dietary-recommendations-have-changed-over-the-last-50-years/article</v>
      </c>
      <c r="C2520" s="2" t="s">
        <v>2104</v>
      </c>
      <c r="D2520" s="3">
        <v>45532.434861111113</v>
      </c>
      <c r="E2520" s="2" t="s">
        <v>824</v>
      </c>
    </row>
    <row r="2521" spans="1:5" ht="98" x14ac:dyDescent="0.2">
      <c r="A2521" s="2" t="s">
        <v>499</v>
      </c>
      <c r="B2521" s="2" t="str">
        <f>HYPERLINK("http://mainstreet.staging.communityq.com/premium/stories/from-added-sugar-to-sodium-here039s-how-us-dietary-recommendations-have-changed-over-the-last,82606")</f>
        <v>http://mainstreet.staging.communityq.com/premium/stories/from-added-sugar-to-sodium-here039s-how-us-dietary-recommendations-have-changed-over-the-last,82606</v>
      </c>
      <c r="C2521" s="2" t="s">
        <v>500</v>
      </c>
      <c r="D2521" s="3">
        <v>45532.5231712963</v>
      </c>
      <c r="E2521" s="2" t="s">
        <v>354</v>
      </c>
    </row>
    <row r="2522" spans="1:5" ht="98" x14ac:dyDescent="0.2">
      <c r="A2522" s="2" t="s">
        <v>426</v>
      </c>
      <c r="B2522" s="2" t="str">
        <f>HYPERLINK("http://dundasmn.com/premium/stories/from-added-sugar-to-sodium-here039s-how-us-dietary-recommendations-have-changed-over-the-last,82606")</f>
        <v>http://dundasmn.com/premium/stories/from-added-sugar-to-sodium-here039s-how-us-dietary-recommendations-have-changed-over-the-last,82606</v>
      </c>
      <c r="C2522" s="2" t="s">
        <v>427</v>
      </c>
      <c r="D2522" s="3">
        <v>45532.523530092592</v>
      </c>
      <c r="E2522" s="2" t="s">
        <v>354</v>
      </c>
    </row>
    <row r="2523" spans="1:5" ht="98" x14ac:dyDescent="0.2">
      <c r="A2523" s="2" t="s">
        <v>352</v>
      </c>
      <c r="B2523" s="2" t="str">
        <f>HYPERLINK("http://randolphmn.com/premium/stories/from-added-sugar-to-sodium-here039s-how-us-dietary-recommendations-have-changed-over-the-last,82606")</f>
        <v>http://randolphmn.com/premium/stories/from-added-sugar-to-sodium-here039s-how-us-dietary-recommendations-have-changed-over-the-last,82606</v>
      </c>
      <c r="C2523" s="2" t="s">
        <v>353</v>
      </c>
      <c r="D2523" s="3">
        <v>45532.551377314812</v>
      </c>
      <c r="E2523" s="2" t="s">
        <v>354</v>
      </c>
    </row>
    <row r="2524" spans="1:5" ht="98" x14ac:dyDescent="0.2">
      <c r="A2524" s="2" t="s">
        <v>4142</v>
      </c>
      <c r="B2524" s="2" t="str">
        <f>HYPERLINK("http://riverdalepress.staging2.communityq.com/premium/stories/from-added-sugar-to-sodium-here039s-how-us-dietary-recommendations-have-changed-over-the-last,156338")</f>
        <v>http://riverdalepress.staging2.communityq.com/premium/stories/from-added-sugar-to-sodium-here039s-how-us-dietary-recommendations-have-changed-over-the-last,156338</v>
      </c>
      <c r="C2524" s="2" t="s">
        <v>4143</v>
      </c>
      <c r="D2524" s="3">
        <v>45532.55259259259</v>
      </c>
      <c r="E2524" s="2" t="s">
        <v>354</v>
      </c>
    </row>
    <row r="2525" spans="1:5" ht="98" x14ac:dyDescent="0.2">
      <c r="A2525" s="2" t="s">
        <v>775</v>
      </c>
      <c r="B2525" s="2" t="str">
        <f>HYPERLINK("http://www.longfellownokomismessenger.com/premium/stories/from-added-sugar-to-sodium-here039s-how-us-dietary-recommendations-have-changed-over-the-last,82687")</f>
        <v>http://www.longfellownokomismessenger.com/premium/stories/from-added-sugar-to-sodium-here039s-how-us-dietary-recommendations-have-changed-over-the-last,82687</v>
      </c>
      <c r="C2525" s="2" t="s">
        <v>776</v>
      </c>
      <c r="D2525" s="3">
        <v>45532.557118055563</v>
      </c>
      <c r="E2525" s="2" t="s">
        <v>354</v>
      </c>
    </row>
    <row r="2526" spans="1:5" ht="98" x14ac:dyDescent="0.2">
      <c r="A2526" s="2" t="s">
        <v>1040</v>
      </c>
      <c r="B2526" s="2" t="str">
        <f>HYPERLINK("http://www.bentoncountyenterprise.com/premium/stories/from-added-sugar-to-sodium-here039s-how-us-dietary-recommendations-have-changed-over-the-last,87193")</f>
        <v>http://www.bentoncountyenterprise.com/premium/stories/from-added-sugar-to-sodium-here039s-how-us-dietary-recommendations-have-changed-over-the-last,87193</v>
      </c>
      <c r="C2526" s="2" t="s">
        <v>1041</v>
      </c>
      <c r="D2526" s="3">
        <v>45532.557326388887</v>
      </c>
      <c r="E2526" s="2" t="s">
        <v>354</v>
      </c>
    </row>
    <row r="2527" spans="1:5" ht="98" x14ac:dyDescent="0.2">
      <c r="A2527" s="2" t="s">
        <v>559</v>
      </c>
      <c r="B2527" s="2" t="str">
        <f>HYPERLINK("https://newsdaytonabeach.com/premium/stories/from-added-sugar-to-sodium-here039s-how-us-dietary-recommendations-have-changed-over-the-last,88476")</f>
        <v>https://newsdaytonabeach.com/premium/stories/from-added-sugar-to-sodium-here039s-how-us-dietary-recommendations-have-changed-over-the-last,88476</v>
      </c>
      <c r="C2527" s="2" t="s">
        <v>1416</v>
      </c>
      <c r="D2527" s="3">
        <v>45532.557997685188</v>
      </c>
      <c r="E2527" s="2" t="s">
        <v>354</v>
      </c>
    </row>
    <row r="2528" spans="1:5" ht="84" x14ac:dyDescent="0.2">
      <c r="A2528" s="2" t="s">
        <v>559</v>
      </c>
      <c r="B2528" s="2" t="str">
        <f>HYPERLINK("https://931coast.com/from-added-sugar-to-sodium-heres-how-us-dietary-recommendations-have-changed-over-the-last-50-years/")</f>
        <v>https://931coast.com/from-added-sugar-to-sodium-heres-how-us-dietary-recommendations-have-changed-over-the-last-50-years/</v>
      </c>
      <c r="C2528" s="2" t="s">
        <v>569</v>
      </c>
      <c r="D2528" s="3">
        <v>45532.563530092593</v>
      </c>
      <c r="E2528" s="2" t="s">
        <v>561</v>
      </c>
    </row>
    <row r="2529" spans="1:5" ht="84" x14ac:dyDescent="0.2">
      <c r="A2529" s="2" t="s">
        <v>559</v>
      </c>
      <c r="B2529" s="2" t="str">
        <f>HYPERLINK("https://995wlov.com/2024/08/28/from-added-sugar-to-sodium-heres-how-us-dietary-recommendations-have-changed-over-the-last-50-years/")</f>
        <v>https://995wlov.com/2024/08/28/from-added-sugar-to-sodium-heres-how-us-dietary-recommendations-have-changed-over-the-last-50-years/</v>
      </c>
      <c r="C2529" s="2" t="s">
        <v>620</v>
      </c>
      <c r="D2529" s="3">
        <v>45532.563900462963</v>
      </c>
      <c r="E2529" s="2" t="s">
        <v>561</v>
      </c>
    </row>
    <row r="2530" spans="1:5" ht="84" x14ac:dyDescent="0.2">
      <c r="A2530" s="2" t="s">
        <v>559</v>
      </c>
      <c r="B2530" s="2" t="str">
        <f>HYPERLINK("https://1033wvyb.com/from-added-sugar-to-sodium-heres-how-us-dietary-recommendations-have-changed-over-the-last-50-years/")</f>
        <v>https://1033wvyb.com/from-added-sugar-to-sodium-heres-how-us-dietary-recommendations-have-changed-over-the-last-50-years/</v>
      </c>
      <c r="C2530" s="2" t="s">
        <v>560</v>
      </c>
      <c r="D2530" s="3">
        <v>45532.564456018517</v>
      </c>
      <c r="E2530" s="2" t="s">
        <v>561</v>
      </c>
    </row>
    <row r="2531" spans="1:5" ht="98" x14ac:dyDescent="0.2">
      <c r="A2531" s="2" t="s">
        <v>422</v>
      </c>
      <c r="B2531" s="2" t="str">
        <f>HYPERLINK("http://www.thejerseytomatopress.com/premium/stories/from-added-sugar-to-sodium-here039s-how-us-dietary-recommendations-have-changed-over-the-last,105770")</f>
        <v>http://www.thejerseytomatopress.com/premium/stories/from-added-sugar-to-sodium-here039s-how-us-dietary-recommendations-have-changed-over-the-last,105770</v>
      </c>
      <c r="C2531" s="2" t="s">
        <v>423</v>
      </c>
      <c r="D2531" s="3">
        <v>45532.577557870369</v>
      </c>
      <c r="E2531" s="2" t="s">
        <v>354</v>
      </c>
    </row>
    <row r="2532" spans="1:5" ht="98" x14ac:dyDescent="0.2">
      <c r="A2532" s="2" t="s">
        <v>1353</v>
      </c>
      <c r="B2532" s="2" t="str">
        <f>HYPERLINK("https://www.magnoliastatelive.com/2024/08/28/from-added-sugar-to-sodium-heres-how-us-dietary-recommendations-have-changed-over-the-last-50-years/")</f>
        <v>https://www.magnoliastatelive.com/2024/08/28/from-added-sugar-to-sodium-heres-how-us-dietary-recommendations-have-changed-over-the-last-50-years/</v>
      </c>
      <c r="C2532" s="2" t="s">
        <v>1354</v>
      </c>
      <c r="D2532" s="3">
        <v>45532.608182870368</v>
      </c>
      <c r="E2532" s="2" t="s">
        <v>824</v>
      </c>
    </row>
    <row r="2533" spans="1:5" ht="98" x14ac:dyDescent="0.2">
      <c r="A2533" s="2" t="s">
        <v>559</v>
      </c>
      <c r="B2533" s="2" t="str">
        <f>HYPERLINK("https://health-reporter.news/from-added-sugar-to-sodium-heres-how-us-dietary-recommendations-have-changed-over-the-last-50-years/")</f>
        <v>https://health-reporter.news/from-added-sugar-to-sodium-heres-how-us-dietary-recommendations-have-changed-over-the-last-50-years/</v>
      </c>
      <c r="C2533" s="2" t="s">
        <v>222</v>
      </c>
      <c r="D2533" s="3">
        <v>45532.66333333333</v>
      </c>
      <c r="E2533" s="2" t="s">
        <v>824</v>
      </c>
    </row>
    <row r="2534" spans="1:5" ht="98" x14ac:dyDescent="0.2">
      <c r="A2534" s="2" t="s">
        <v>2226</v>
      </c>
      <c r="B2534" s="2" t="str">
        <f>HYPERLINK("https://localnews8.com/stacker-science/2024/08/28/from-added-sugar-to-sodium-heres-how-us-dietary-recommendations-have-changed-over-the-last-50-years/")</f>
        <v>https://localnews8.com/stacker-science/2024/08/28/from-added-sugar-to-sodium-heres-how-us-dietary-recommendations-have-changed-over-the-last-50-years/</v>
      </c>
      <c r="C2534" s="2" t="s">
        <v>2164</v>
      </c>
      <c r="D2534" s="3">
        <v>45533.080671296288</v>
      </c>
      <c r="E2534" s="2" t="s">
        <v>824</v>
      </c>
    </row>
    <row r="2535" spans="1:5" ht="42" x14ac:dyDescent="0.2">
      <c r="A2535" s="2" t="s">
        <v>816</v>
      </c>
      <c r="B2535" s="2" t="str">
        <f>HYPERLINK("https://sentientmedia.org/us-dietary-guidelines-climate/")</f>
        <v>https://sentientmedia.org/us-dietary-guidelines-climate/</v>
      </c>
      <c r="C2535" s="2" t="s">
        <v>2286</v>
      </c>
      <c r="D2535" s="3">
        <v>45533.354166666657</v>
      </c>
      <c r="E2535" s="2" t="s">
        <v>817</v>
      </c>
    </row>
    <row r="2536" spans="1:5" ht="42" x14ac:dyDescent="0.2">
      <c r="A2536" s="2" t="s">
        <v>816</v>
      </c>
      <c r="B2536" s="2" t="str">
        <f>HYPERLINK("https://health-reporter.news/current-u-s-dietary-guidelines-ignore-climate-and-thats-a-problem/")</f>
        <v>https://health-reporter.news/current-u-s-dietary-guidelines-ignore-climate-and-thats-a-problem/</v>
      </c>
      <c r="C2536" s="2" t="s">
        <v>222</v>
      </c>
      <c r="D2536" s="3">
        <v>45533.380682870367</v>
      </c>
      <c r="E2536" s="2" t="s">
        <v>817</v>
      </c>
    </row>
    <row r="2537" spans="1:5" ht="98" x14ac:dyDescent="0.2">
      <c r="A2537" s="2" t="s">
        <v>559</v>
      </c>
      <c r="B2537" s="2" t="str">
        <f>HYPERLINK("https://ktvz.com/stacker-science/2024/08/29/from-added-sugar-to-sodium-heres-how-us-dietary-recommendations-have-changed-over-the-last-50-years/")</f>
        <v>https://ktvz.com/stacker-science/2024/08/29/from-added-sugar-to-sodium-heres-how-us-dietary-recommendations-have-changed-over-the-last-50-years/</v>
      </c>
      <c r="C2537" s="2" t="s">
        <v>2747</v>
      </c>
      <c r="D2537" s="3">
        <v>45533.45579861111</v>
      </c>
      <c r="E2537" s="2" t="s">
        <v>824</v>
      </c>
    </row>
    <row r="2538" spans="1:5" ht="98" x14ac:dyDescent="0.2">
      <c r="A2538" s="2" t="s">
        <v>559</v>
      </c>
      <c r="B2538" s="2" t="str">
        <f>HYPERLINK("https://kvia.com/news/business-technology/stacker-science/2024/08/29/from-added-sugar-to-sodium-heres-how-us-dietary-recommendations-have-changed-over-the-last-50-years/")</f>
        <v>https://kvia.com/news/business-technology/stacker-science/2024/08/29/from-added-sugar-to-sodium-heres-how-us-dietary-recommendations-have-changed-over-the-last-50-years/</v>
      </c>
      <c r="C2538" s="2" t="s">
        <v>2358</v>
      </c>
      <c r="D2538" s="3">
        <v>45533.686597222222</v>
      </c>
      <c r="E2538" s="2" t="s">
        <v>824</v>
      </c>
    </row>
    <row r="2539" spans="1:5" ht="84" x14ac:dyDescent="0.2">
      <c r="A2539" s="2" t="s">
        <v>2294</v>
      </c>
      <c r="B2539" s="2" t="str">
        <f>HYPERLINK("http://www.mdlinx.com/article/the-economic-fallout-of-ozempic-and-how-it-impacts-docs/7yHu5tGnFdhUN8IRnj4umU")</f>
        <v>http://www.mdlinx.com/article/the-economic-fallout-of-ozempic-and-how-it-impacts-docs/7yHu5tGnFdhUN8IRnj4umU</v>
      </c>
      <c r="C2539" s="2" t="s">
        <v>2295</v>
      </c>
      <c r="D2539" s="3">
        <v>45533.756527777783</v>
      </c>
      <c r="E2539" s="2" t="s">
        <v>1845</v>
      </c>
    </row>
    <row r="2540" spans="1:5" ht="84" x14ac:dyDescent="0.2">
      <c r="A2540" s="2" t="s">
        <v>1843</v>
      </c>
      <c r="B2540" s="2" t="str">
        <f>HYPERLINK("https://www.m3india.in/contents/clinical_news/the-economic-fallout-of-ozempic-and-how-it-impacts-docs?feed=120547542")</f>
        <v>https://www.m3india.in/contents/clinical_news/the-economic-fallout-of-ozempic-and-how-it-impacts-docs?feed=120547542</v>
      </c>
      <c r="C2540" s="2" t="s">
        <v>1844</v>
      </c>
      <c r="D2540" s="3">
        <v>45534</v>
      </c>
      <c r="E2540" s="2" t="s">
        <v>1845</v>
      </c>
    </row>
    <row r="2541" spans="1:5" ht="70" x14ac:dyDescent="0.2">
      <c r="A2541" s="2" t="s">
        <v>3745</v>
      </c>
      <c r="B2541" s="2" t="str">
        <f>HYPERLINK("https://wherethefoodcomesfrom.com/what-happened-to-red-lobster-hint-private-equity/")</f>
        <v>https://wherethefoodcomesfrom.com/what-happened-to-red-lobster-hint-private-equity/</v>
      </c>
      <c r="C2541" s="2" t="s">
        <v>3746</v>
      </c>
      <c r="D2541" s="3">
        <v>45536.918136574073</v>
      </c>
      <c r="E2541" s="2" t="s">
        <v>3747</v>
      </c>
    </row>
    <row r="2542" spans="1:5" ht="56" x14ac:dyDescent="0.2">
      <c r="A2542" s="2" t="s">
        <v>3924</v>
      </c>
      <c r="B2542" s="2" t="str">
        <f>HYPERLINK("https://wherethefoodcomesfrom.com/boars-head-listeria-outbreak-uncovering-the-crisis-its-fallout-and-the-urgent-need-for-food-safety-reform/")</f>
        <v>https://wherethefoodcomesfrom.com/boars-head-listeria-outbreak-uncovering-the-crisis-its-fallout-and-the-urgent-need-for-food-safety-reform/</v>
      </c>
      <c r="C2542" s="2" t="s">
        <v>3746</v>
      </c>
      <c r="D2542" s="3">
        <v>45538.537060185183</v>
      </c>
      <c r="E2542" s="2" t="s">
        <v>3925</v>
      </c>
    </row>
    <row r="2543" spans="1:5" ht="70" x14ac:dyDescent="0.2">
      <c r="A2543" s="2" t="s">
        <v>1486</v>
      </c>
      <c r="B2543" s="2" t="str">
        <f>HYPERLINK("https://organicconsumers.org/book-of-answers-in-a-world-of-questions/")</f>
        <v>https://organicconsumers.org/book-of-answers-in-a-world-of-questions/</v>
      </c>
      <c r="C2543" s="2" t="s">
        <v>1484</v>
      </c>
      <c r="D2543" s="3">
        <v>45538.6643287037</v>
      </c>
      <c r="E2543" s="2" t="s">
        <v>1487</v>
      </c>
    </row>
    <row r="2544" spans="1:5" ht="56" x14ac:dyDescent="0.2">
      <c r="A2544" s="2" t="s">
        <v>170</v>
      </c>
      <c r="B2544" s="2" t="str">
        <f>HYPERLINK("https://www.inkl.com/news/the-biggest-wellness-trends-of-2024-so-far")</f>
        <v>https://www.inkl.com/news/the-biggest-wellness-trends-of-2024-so-far</v>
      </c>
      <c r="C2544" s="2" t="s">
        <v>2569</v>
      </c>
      <c r="D2544" s="3">
        <v>45539.500451388893</v>
      </c>
      <c r="E2544" s="2" t="s">
        <v>172</v>
      </c>
    </row>
    <row r="2545" spans="1:5" ht="56" x14ac:dyDescent="0.2">
      <c r="A2545" s="2" t="s">
        <v>170</v>
      </c>
      <c r="B2545" s="2" t="str">
        <f>HYPERLINK("https://uk.style.yahoo.com/biggest-wellness-trends-2024-far-160039198.html")</f>
        <v>https://uk.style.yahoo.com/biggest-wellness-trends-2024-far-160039198.html</v>
      </c>
      <c r="C2545" s="2" t="s">
        <v>2937</v>
      </c>
      <c r="D2545" s="3">
        <v>45539.500451388893</v>
      </c>
      <c r="E2545" s="2" t="s">
        <v>2938</v>
      </c>
    </row>
    <row r="2546" spans="1:5" ht="56" x14ac:dyDescent="0.2">
      <c r="A2546" s="2" t="s">
        <v>170</v>
      </c>
      <c r="B2546" s="2" t="str">
        <f>HYPERLINK("https://www.yahoo.com/lifestyle/biggest-wellness-trends-2024-far-160039159.html")</f>
        <v>https://www.yahoo.com/lifestyle/biggest-wellness-trends-2024-far-160039159.html</v>
      </c>
      <c r="C2546" s="2" t="s">
        <v>3726</v>
      </c>
      <c r="D2546" s="3">
        <v>45539.500451388893</v>
      </c>
      <c r="E2546" s="2" t="s">
        <v>172</v>
      </c>
    </row>
    <row r="2547" spans="1:5" ht="56" x14ac:dyDescent="0.2">
      <c r="A2547" s="2" t="s">
        <v>170</v>
      </c>
      <c r="B2547" s="2" t="str">
        <f>HYPERLINK("https://www.theguardian.com/wellness/article/2024/sep/04/2024-wellness-trends")</f>
        <v>https://www.theguardian.com/wellness/article/2024/sep/04/2024-wellness-trends</v>
      </c>
      <c r="C2547" s="2" t="s">
        <v>3686</v>
      </c>
      <c r="D2547" s="3">
        <v>45539.503842592603</v>
      </c>
      <c r="E2547" s="2" t="s">
        <v>172</v>
      </c>
    </row>
    <row r="2548" spans="1:5" ht="56" x14ac:dyDescent="0.2">
      <c r="A2548" s="2" t="s">
        <v>170</v>
      </c>
      <c r="B2548" s="2" t="str">
        <f>HYPERLINK("http://www.richardhartley.com/2024/09/the-biggest-wellness-trends-of-2024-so-far/")</f>
        <v>http://www.richardhartley.com/2024/09/the-biggest-wellness-trends-of-2024-so-far/</v>
      </c>
      <c r="C2548" s="2" t="s">
        <v>171</v>
      </c>
      <c r="D2548" s="3">
        <v>45539.542118055557</v>
      </c>
      <c r="E2548" s="2" t="s">
        <v>172</v>
      </c>
    </row>
    <row r="2549" spans="1:5" ht="84" x14ac:dyDescent="0.2">
      <c r="A2549" s="2" t="s">
        <v>736</v>
      </c>
      <c r="B2549" s="2" t="str">
        <f>HYPERLINK("https://lesactualites.news/sante/les-plus-grandes-tendances-bien-etre-de-2024-jusqua-present-en-fait/")</f>
        <v>https://lesactualites.news/sante/les-plus-grandes-tendances-bien-etre-de-2024-jusqua-present-en-fait/</v>
      </c>
      <c r="C2549" s="2" t="s">
        <v>734</v>
      </c>
      <c r="D2549" s="3">
        <v>45539.613807870373</v>
      </c>
      <c r="E2549" s="2" t="s">
        <v>737</v>
      </c>
    </row>
    <row r="2550" spans="1:5" ht="42" x14ac:dyDescent="0.2">
      <c r="A2550" s="2" t="s">
        <v>245</v>
      </c>
      <c r="B2550" s="2" t="str">
        <f>HYPERLINK("https://germanic.news/die-grosten-wellness-trends-2024-bisher-naja-eigentlich/")</f>
        <v>https://germanic.news/die-grosten-wellness-trends-2024-bisher-naja-eigentlich/</v>
      </c>
      <c r="C2550" s="2" t="s">
        <v>243</v>
      </c>
      <c r="D2550" s="3">
        <v>45539.769236111111</v>
      </c>
      <c r="E2550" s="2" t="s">
        <v>246</v>
      </c>
    </row>
    <row r="2551" spans="1:5" ht="84" x14ac:dyDescent="0.2">
      <c r="A2551" s="2" t="s">
        <v>766</v>
      </c>
      <c r="B2551" s="2" t="str">
        <f>HYPERLINK("https://espanol.news/las-mayores-tendencias-de-bienestar-de-2024-hasta-ahora-bueno-en-realidad/")</f>
        <v>https://espanol.news/las-mayores-tendencias-de-bienestar-de-2024-hasta-ahora-bueno-en-realidad/</v>
      </c>
      <c r="C2551" s="2" t="s">
        <v>747</v>
      </c>
      <c r="D2551" s="3">
        <v>45539.862673611111</v>
      </c>
      <c r="E2551" s="2" t="s">
        <v>767</v>
      </c>
    </row>
    <row r="2552" spans="1:5" ht="42" x14ac:dyDescent="0.2">
      <c r="A2552" s="2" t="s">
        <v>3426</v>
      </c>
      <c r="B2552" s="2" t="str">
        <f>HYPERLINK("https://www.consumerreports.org/health/sugar-sweeteners/sugar-substitutes-are-everywhere-a7920296958/")</f>
        <v>https://www.consumerreports.org/health/sugar-sweeteners/sugar-substitutes-are-everywhere-a7920296958/</v>
      </c>
      <c r="C2552" s="2" t="s">
        <v>3427</v>
      </c>
      <c r="D2552" s="3">
        <v>45540</v>
      </c>
      <c r="E2552" s="2" t="s">
        <v>3428</v>
      </c>
    </row>
    <row r="2553" spans="1:5" ht="42" x14ac:dyDescent="0.2">
      <c r="A2553" s="2" t="s">
        <v>3736</v>
      </c>
      <c r="B2553" s="2" t="str">
        <f>HYPERLINK("https://www.yahoo.com/news/sugar-substitutes-everywhere-even-surprising-060020804.html")</f>
        <v>https://www.yahoo.com/news/sugar-substitutes-everywhere-even-surprising-060020804.html</v>
      </c>
      <c r="C2553" s="2" t="s">
        <v>3728</v>
      </c>
      <c r="D2553" s="3">
        <v>45540.083564814813</v>
      </c>
      <c r="E2553" s="2" t="s">
        <v>3428</v>
      </c>
    </row>
    <row r="2554" spans="1:5" ht="84" x14ac:dyDescent="0.2">
      <c r="A2554" s="2" t="s">
        <v>497</v>
      </c>
      <c r="B2554" s="2" t="str">
        <f>HYPERLINK("http://www.ititpro.com/presse-1214805-detail.html")</f>
        <v>http://www.ititpro.com/presse-1214805-detail.html</v>
      </c>
      <c r="C2554" s="2" t="s">
        <v>498</v>
      </c>
      <c r="D2554" s="3">
        <v>45541</v>
      </c>
      <c r="E2554" s="2" t="s">
        <v>344</v>
      </c>
    </row>
    <row r="2555" spans="1:5" ht="84" x14ac:dyDescent="0.2">
      <c r="A2555" s="2" t="s">
        <v>832</v>
      </c>
      <c r="B2555" s="2" t="str">
        <f>HYPERLINK("http://www.imittelstand.de/themen/presse.html?boxid=1214805")</f>
        <v>http://www.imittelstand.de/themen/presse.html?boxid=1214805</v>
      </c>
      <c r="C2555" s="2" t="s">
        <v>833</v>
      </c>
      <c r="D2555" s="3">
        <v>45541</v>
      </c>
      <c r="E2555" s="2" t="s">
        <v>344</v>
      </c>
    </row>
    <row r="2556" spans="1:5" ht="84" x14ac:dyDescent="0.2">
      <c r="A2556" s="2" t="s">
        <v>342</v>
      </c>
      <c r="B2556" s="2" t="str">
        <f>HYPERLINK("https://www.news-blast.com/2024/09/der-balanceakt-der-modernen-ernaehrung-wie-diaeten-und-gesundheitstrends-wirklich-auf-unseren-koerper-wirken/")</f>
        <v>https://www.news-blast.com/2024/09/der-balanceakt-der-modernen-ernaehrung-wie-diaeten-und-gesundheitstrends-wirklich-auf-unseren-koerper-wirken/</v>
      </c>
      <c r="C2556" s="2" t="s">
        <v>477</v>
      </c>
      <c r="D2556" s="3">
        <v>45541.458333333343</v>
      </c>
      <c r="E2556" s="2" t="s">
        <v>344</v>
      </c>
    </row>
    <row r="2557" spans="1:5" ht="84" x14ac:dyDescent="0.2">
      <c r="A2557" s="2" t="s">
        <v>2115</v>
      </c>
      <c r="B2557" s="2" t="str">
        <f>HYPERLINK("https://www.klamm.de/news/der-balanceakt-der-modernen-ernaehrung-wie-diaeten-und-gesundheitstrends-wirklich-auf-unseren-koerper-wirken-4N1214805.html")</f>
        <v>https://www.klamm.de/news/der-balanceakt-der-modernen-ernaehrung-wie-diaeten-und-gesundheitstrends-wirklich-auf-unseren-koerper-wirken-4N1214805.html</v>
      </c>
      <c r="C2557" s="2" t="s">
        <v>2113</v>
      </c>
      <c r="D2557" s="3">
        <v>45541.458333333343</v>
      </c>
      <c r="E2557" s="2" t="s">
        <v>2116</v>
      </c>
    </row>
    <row r="2558" spans="1:5" ht="84" x14ac:dyDescent="0.2">
      <c r="A2558" s="2" t="s">
        <v>342</v>
      </c>
      <c r="B2558" s="2" t="str">
        <f>HYPERLINK("https://www.pressebox.com/pressrelease/provimedia-gmbh/der-balanceakt-der-modernen-ernaehrung-wie-diaeten-und-gesundheitstrends-wirklich-auf-unseren-koerper-wirken/boxid/1214805")</f>
        <v>https://www.pressebox.com/pressrelease/provimedia-gmbh/der-balanceakt-der-modernen-ernaehrung-wie-diaeten-und-gesundheitstrends-wirklich-auf-unseren-koerper-wirken/boxid/1214805</v>
      </c>
      <c r="C2558" s="2" t="s">
        <v>1174</v>
      </c>
      <c r="D2558" s="3">
        <v>45541.464386574073</v>
      </c>
      <c r="E2558" s="2" t="s">
        <v>344</v>
      </c>
    </row>
    <row r="2559" spans="1:5" ht="84" x14ac:dyDescent="0.2">
      <c r="A2559" s="2" t="s">
        <v>342</v>
      </c>
      <c r="B2559" s="2" t="str">
        <f>HYPERLINK("https://www.pressebox.de/pressemitteilung/provimedia-gmbh/Der-Balanceakt-der-modernen-Ernaehrung-Wie-Diaeten-und-Gesundheitstrends-wirklich-auf-unseren-Koerper-wirken/boxid/1214805")</f>
        <v>https://www.pressebox.de/pressemitteilung/provimedia-gmbh/Der-Balanceakt-der-modernen-Ernaehrung-Wie-Diaeten-und-Gesundheitstrends-wirklich-auf-unseren-Koerper-wirken/boxid/1214805</v>
      </c>
      <c r="C2559" s="2" t="s">
        <v>1873</v>
      </c>
      <c r="D2559" s="3">
        <v>45541.46570601852</v>
      </c>
      <c r="E2559" s="2" t="s">
        <v>344</v>
      </c>
    </row>
    <row r="2560" spans="1:5" ht="84" x14ac:dyDescent="0.2">
      <c r="A2560" s="2" t="s">
        <v>1171</v>
      </c>
      <c r="B2560" s="2" t="str">
        <f>HYPERLINK("https://www.firmenpresse.de/pressinfo2122428-der-balanceakt-der-modernen-ern-hrung-wie-di-ten-und-gesundheitstrends-wirklich-auf-unseren-k-rper-wirken.html")</f>
        <v>https://www.firmenpresse.de/pressinfo2122428-der-balanceakt-der-modernen-ern-hrung-wie-di-ten-und-gesundheitstrends-wirklich-auf-unseren-k-rper-wirken.html</v>
      </c>
      <c r="C2560" s="2" t="s">
        <v>1172</v>
      </c>
      <c r="D2560" s="3">
        <v>45541.466504629629</v>
      </c>
      <c r="E2560" s="2" t="s">
        <v>344</v>
      </c>
    </row>
    <row r="2561" spans="1:5" ht="84" x14ac:dyDescent="0.2">
      <c r="A2561" s="2" t="s">
        <v>342</v>
      </c>
      <c r="B2561" s="2" t="str">
        <f>HYPERLINK("https://www.mynewschannel.net/2024/09/der-balanceakt-der-modernen-ernaehrung-wie-diaeten-und-gesundheitstrends-wirklich-auf-unseren-koerper-wirken/")</f>
        <v>https://www.mynewschannel.net/2024/09/der-balanceakt-der-modernen-ernaehrung-wie-diaeten-und-gesundheitstrends-wirklich-auf-unseren-koerper-wirken/</v>
      </c>
      <c r="C2561" s="2" t="s">
        <v>790</v>
      </c>
      <c r="D2561" s="3">
        <v>45541.481666666667</v>
      </c>
      <c r="E2561" s="2" t="s">
        <v>344</v>
      </c>
    </row>
    <row r="2562" spans="1:5" ht="84" x14ac:dyDescent="0.2">
      <c r="A2562" s="2" t="s">
        <v>342</v>
      </c>
      <c r="B2562" s="2" t="str">
        <f>HYPERLINK("https://www.deutscherpresseindex.de/2024/09/06/der-balanceakt-der-modernen-ernaehrung-wie-diaeten-und-gesundheitstrends-wirklich-auf-unseren-koerper-wirken/")</f>
        <v>https://www.deutscherpresseindex.de/2024/09/06/der-balanceakt-der-modernen-ernaehrung-wie-diaeten-und-gesundheitstrends-wirklich-auf-unseren-koerper-wirken/</v>
      </c>
      <c r="C2562" s="2" t="s">
        <v>876</v>
      </c>
      <c r="D2562" s="3">
        <v>45541.482291666667</v>
      </c>
      <c r="E2562" s="2" t="s">
        <v>344</v>
      </c>
    </row>
    <row r="2563" spans="1:5" ht="84" x14ac:dyDescent="0.2">
      <c r="A2563" s="2" t="s">
        <v>342</v>
      </c>
      <c r="B2563" s="2" t="str">
        <f>HYPERLINK("https://www.it-it-prof.de/2024/09/06/der-balanceakt-der-modernen-ernaehrung-wie-diaeten-und-gesundheitstrends-wirklich-auf-unseren-koerper-wirken/")</f>
        <v>https://www.it-it-prof.de/2024/09/06/der-balanceakt-der-modernen-ernaehrung-wie-diaeten-und-gesundheitstrends-wirklich-auf-unseren-koerper-wirken/</v>
      </c>
      <c r="C2563" s="2" t="s">
        <v>953</v>
      </c>
      <c r="D2563" s="3">
        <v>45541.484513888892</v>
      </c>
      <c r="E2563" s="2" t="s">
        <v>344</v>
      </c>
    </row>
    <row r="2564" spans="1:5" ht="84" x14ac:dyDescent="0.2">
      <c r="A2564" s="2" t="s">
        <v>342</v>
      </c>
      <c r="B2564" s="2" t="str">
        <f>HYPERLINK("https://www.newsonline24.net/2024/09/der-balanceakt-der-modernen-ernaehrung-wie-diaeten-und-gesundheitstrends-wirklich-auf-unseren-koerper-wirken/")</f>
        <v>https://www.newsonline24.net/2024/09/der-balanceakt-der-modernen-ernaehrung-wie-diaeten-und-gesundheitstrends-wirklich-auf-unseren-koerper-wirken/</v>
      </c>
      <c r="C2564" s="2" t="s">
        <v>523</v>
      </c>
      <c r="D2564" s="3">
        <v>45541.485752314817</v>
      </c>
      <c r="E2564" s="2" t="s">
        <v>344</v>
      </c>
    </row>
    <row r="2565" spans="1:5" ht="84" x14ac:dyDescent="0.2">
      <c r="A2565" s="2" t="s">
        <v>342</v>
      </c>
      <c r="B2565" s="2" t="str">
        <f>HYPERLINK("https://www.immittelstand.de/2024/09/06/der-balanceakt-der-modernen-ernaehrung-wie-diaeten-und-gesundheitstrends-wirklich-auf-unseren-koerper-wirken/")</f>
        <v>https://www.immittelstand.de/2024/09/06/der-balanceakt-der-modernen-ernaehrung-wie-diaeten-und-gesundheitstrends-wirklich-auf-unseren-koerper-wirken/</v>
      </c>
      <c r="C2565" s="2" t="s">
        <v>791</v>
      </c>
      <c r="D2565" s="3">
        <v>45541.489178240743</v>
      </c>
      <c r="E2565" s="2" t="s">
        <v>344</v>
      </c>
    </row>
    <row r="2566" spans="1:5" ht="84" x14ac:dyDescent="0.2">
      <c r="A2566" s="2" t="s">
        <v>342</v>
      </c>
      <c r="B2566" s="2" t="str">
        <f>HYPERLINK("https://www.news-research.net/2024/09/der-balanceakt-der-modernen-ernaehrung-wie-diaeten-und-gesundheitstrends-wirklich-auf-unseren-koerper-wirken/")</f>
        <v>https://www.news-research.net/2024/09/der-balanceakt-der-modernen-ernaehrung-wie-diaeten-und-gesundheitstrends-wirklich-auf-unseren-koerper-wirken/</v>
      </c>
      <c r="C2566" s="2" t="s">
        <v>804</v>
      </c>
      <c r="D2566" s="3">
        <v>45541.490960648152</v>
      </c>
      <c r="E2566" s="2" t="s">
        <v>344</v>
      </c>
    </row>
    <row r="2567" spans="1:5" ht="84" x14ac:dyDescent="0.2">
      <c r="A2567" s="2" t="s">
        <v>342</v>
      </c>
      <c r="B2567" s="2" t="str">
        <f>HYPERLINK("https://www.presse-blog.com/2024/09/06/der-balanceakt-der-modernen-ernaehrung-wie-diaeten-und-gesundheitstrends-wirklich-auf-unseren-koerper-wirken/")</f>
        <v>https://www.presse-blog.com/2024/09/06/der-balanceakt-der-modernen-ernaehrung-wie-diaeten-und-gesundheitstrends-wirklich-auf-unseren-koerper-wirken/</v>
      </c>
      <c r="C2567" s="2" t="s">
        <v>369</v>
      </c>
      <c r="D2567" s="3">
        <v>45541.493090277778</v>
      </c>
      <c r="E2567" s="2" t="s">
        <v>344</v>
      </c>
    </row>
    <row r="2568" spans="1:5" ht="84" x14ac:dyDescent="0.2">
      <c r="A2568" s="2" t="s">
        <v>342</v>
      </c>
      <c r="B2568" s="2" t="str">
        <f>HYPERLINK("https://www.technologiebox.de/2024/09/06/der-balanceakt-der-modernen-ernaehrung-wie-diaeten-und-gesundheitstrends-wirklich-auf-unseren-koerper-wirken/")</f>
        <v>https://www.technologiebox.de/2024/09/06/der-balanceakt-der-modernen-ernaehrung-wie-diaeten-und-gesundheitstrends-wirklich-auf-unseren-koerper-wirken/</v>
      </c>
      <c r="C2568" s="2" t="s">
        <v>343</v>
      </c>
      <c r="D2568" s="3">
        <v>45541.493171296293</v>
      </c>
      <c r="E2568" s="2" t="s">
        <v>344</v>
      </c>
    </row>
    <row r="2569" spans="1:5" ht="84" x14ac:dyDescent="0.2">
      <c r="A2569" s="2" t="s">
        <v>2715</v>
      </c>
      <c r="B2569" s="2" t="str">
        <f>HYPERLINK("https://newsukraine.rbc.ua/news/8-ultra-processed-foods-and-why-you-should-1725656071.html")</f>
        <v>https://newsukraine.rbc.ua/news/8-ultra-processed-foods-and-why-you-should-1725656071.html</v>
      </c>
      <c r="C2569" s="2" t="s">
        <v>2716</v>
      </c>
      <c r="D2569" s="3">
        <v>45541.704965277779</v>
      </c>
      <c r="E2569" s="2" t="s">
        <v>2717</v>
      </c>
    </row>
    <row r="2570" spans="1:5" ht="70" x14ac:dyDescent="0.2">
      <c r="A2570" s="2" t="s">
        <v>162</v>
      </c>
      <c r="B2570" s="2" t="str">
        <f>HYPERLINK("https://bitebi.com/industry-funded-studies-of-the-week-walnuts-again-and-again/")</f>
        <v>https://bitebi.com/industry-funded-studies-of-the-week-walnuts-again-and-again/</v>
      </c>
      <c r="C2570" s="2" t="s">
        <v>15</v>
      </c>
      <c r="D2570" s="3">
        <v>45544.485312500001</v>
      </c>
      <c r="E2570" s="2" t="s">
        <v>163</v>
      </c>
    </row>
    <row r="2571" spans="1:5" ht="140" x14ac:dyDescent="0.2">
      <c r="A2571" s="2" t="s">
        <v>986</v>
      </c>
      <c r="B2571" s="2" t="str">
        <f>HYPERLINK("https://nationalmagazine.ca/en-ca/articles/law/hot-topics-in-law/2024/junk-food-ad-bans-alone-won-t-fix-canada-s-obesity-problem")</f>
        <v>https://nationalmagazine.ca/en-ca/articles/law/hot-topics-in-law/2024/junk-food-ad-bans-alone-won-t-fix-canada-s-obesity-problem</v>
      </c>
      <c r="C2571" s="2" t="s">
        <v>987</v>
      </c>
      <c r="D2571" s="3">
        <v>45545</v>
      </c>
      <c r="E2571" s="2" t="s">
        <v>988</v>
      </c>
    </row>
    <row r="2572" spans="1:5" ht="56" x14ac:dyDescent="0.2">
      <c r="A2572" s="2" t="s">
        <v>801</v>
      </c>
      <c r="B2572" s="2" t="str">
        <f>HYPERLINK("https://news-24.fr/linterdiction-des-publicites-pour-la-malbouffe-ne-suffira-pas-a-elle-seule-a-resoudre-le-probleme-de-lobesite-au-canada/")</f>
        <v>https://news-24.fr/linterdiction-des-publicites-pour-la-malbouffe-ne-suffira-pas-a-elle-seule-a-resoudre-le-probleme-de-lobesite-au-canada/</v>
      </c>
      <c r="C2572" s="2" t="s">
        <v>797</v>
      </c>
      <c r="D2572" s="3">
        <v>45545.418819444443</v>
      </c>
      <c r="E2572" s="2" t="s">
        <v>802</v>
      </c>
    </row>
    <row r="2573" spans="1:5" ht="56" x14ac:dyDescent="0.2">
      <c r="A2573" s="2" t="s">
        <v>729</v>
      </c>
      <c r="B2573" s="2" t="str">
        <f>HYPERLINK("https://www.diariodesalud.com.do/texto-diario/mostrar/4989607/financial-times-nestle-admite-mayoria-productos-no-saludables")</f>
        <v>https://www.diariodesalud.com.do/texto-diario/mostrar/4989607/financial-times-nestle-admite-mayoria-productos-no-saludables</v>
      </c>
      <c r="C2573" s="2" t="s">
        <v>730</v>
      </c>
      <c r="D2573" s="3">
        <v>45545.613923611112</v>
      </c>
      <c r="E2573" s="2" t="s">
        <v>731</v>
      </c>
    </row>
    <row r="2574" spans="1:5" ht="84" x14ac:dyDescent="0.2">
      <c r="A2574" s="2" t="s">
        <v>3055</v>
      </c>
      <c r="B2574" s="2" t="str">
        <f>HYPERLINK("https://www.statnews.com/2024/09/11/ultra-processed-foods-health-nih-research-kevin-hall-controlled-trials/")</f>
        <v>https://www.statnews.com/2024/09/11/ultra-processed-foods-health-nih-research-kevin-hall-controlled-trials/</v>
      </c>
      <c r="C2574" s="2" t="s">
        <v>3025</v>
      </c>
      <c r="D2574" s="3">
        <v>45546.193483796298</v>
      </c>
      <c r="E2574" s="2" t="s">
        <v>152</v>
      </c>
    </row>
    <row r="2575" spans="1:5" ht="84" x14ac:dyDescent="0.2">
      <c r="A2575" s="2" t="s">
        <v>150</v>
      </c>
      <c r="B2575" s="2" t="str">
        <f>HYPERLINK("https://africanewsherald.com/2024/09/11/kevin-halls-controlled-feeding-trials-lack-funds-stat/")</f>
        <v>https://africanewsherald.com/2024/09/11/kevin-halls-controlled-feeding-trials-lack-funds-stat/</v>
      </c>
      <c r="C2575" s="2" t="s">
        <v>151</v>
      </c>
      <c r="D2575" s="3">
        <v>45546.196585648147</v>
      </c>
      <c r="E2575" s="2" t="s">
        <v>152</v>
      </c>
    </row>
    <row r="2576" spans="1:5" ht="84" x14ac:dyDescent="0.2">
      <c r="A2576" s="2" t="s">
        <v>1708</v>
      </c>
      <c r="B2576" s="2" t="str">
        <f>HYPERLINK("https://www.lenouveleconomiste.fr/financial-times/le-pouvoir-tentaculaire-du-lobby-agricole-mondial/")</f>
        <v>https://www.lenouveleconomiste.fr/financial-times/le-pouvoir-tentaculaire-du-lobby-agricole-mondial/</v>
      </c>
      <c r="C2576" s="2" t="s">
        <v>1709</v>
      </c>
      <c r="D2576" s="3">
        <v>45547.417303240742</v>
      </c>
      <c r="E2576" s="2" t="s">
        <v>1710</v>
      </c>
    </row>
    <row r="2577" spans="1:5" ht="84" x14ac:dyDescent="0.2">
      <c r="A2577" s="2" t="s">
        <v>3609</v>
      </c>
      <c r="B2577" s="2" t="str">
        <f>HYPERLINK("https://www.kompas.com/food/read/2024/09/13/115326975/menggugat-gastro-colonialism")</f>
        <v>https://www.kompas.com/food/read/2024/09/13/115326975/menggugat-gastro-colonialism</v>
      </c>
      <c r="C2577" s="2" t="s">
        <v>3607</v>
      </c>
      <c r="D2577" s="3">
        <v>45548.037106481483</v>
      </c>
      <c r="E2577" s="2" t="s">
        <v>3610</v>
      </c>
    </row>
    <row r="2578" spans="1:5" ht="84" x14ac:dyDescent="0.2">
      <c r="A2578" s="2" t="s">
        <v>2634</v>
      </c>
      <c r="B2578" s="2" t="str">
        <f>HYPERLINK("https://ilfattoalimentare.it/recensione-libro-big-soda-scienza.html")</f>
        <v>https://ilfattoalimentare.it/recensione-libro-big-soda-scienza.html</v>
      </c>
      <c r="C2578" s="2" t="s">
        <v>2635</v>
      </c>
      <c r="D2578" s="3">
        <v>45548.356469907398</v>
      </c>
      <c r="E2578" s="2" t="s">
        <v>2636</v>
      </c>
    </row>
    <row r="2579" spans="1:5" ht="70" x14ac:dyDescent="0.2">
      <c r="A2579" s="2" t="s">
        <v>3785</v>
      </c>
      <c r="B2579" s="2" t="str">
        <f>HYPERLINK("https://wherethefoodcomesfrom.com/sweetener-dilemma-a-bitter-debate-on-health-environment-and-taste/")</f>
        <v>https://wherethefoodcomesfrom.com/sweetener-dilemma-a-bitter-debate-on-health-environment-and-taste/</v>
      </c>
      <c r="C2579" s="2" t="s">
        <v>3746</v>
      </c>
      <c r="D2579" s="3">
        <v>45551.689398148148</v>
      </c>
      <c r="E2579" s="2" t="s">
        <v>3786</v>
      </c>
    </row>
    <row r="2580" spans="1:5" ht="98" x14ac:dyDescent="0.2">
      <c r="A2580" s="2" t="s">
        <v>551</v>
      </c>
      <c r="B2580" s="2" t="str">
        <f>HYPERLINK("https://todayschronic.com/us-pushed-countries-to-weaken-infant-formula-regulations-documents-show/")</f>
        <v>https://todayschronic.com/us-pushed-countries-to-weaken-infant-formula-regulations-documents-show/</v>
      </c>
      <c r="C2580" s="2" t="s">
        <v>524</v>
      </c>
      <c r="D2580" s="3">
        <v>45552.279224537036</v>
      </c>
      <c r="E2580" s="2" t="s">
        <v>552</v>
      </c>
    </row>
    <row r="2581" spans="1:5" ht="84" x14ac:dyDescent="0.2">
      <c r="A2581" s="2" t="s">
        <v>1684</v>
      </c>
      <c r="B2581" s="2" t="str">
        <f>HYPERLINK("https://foodtank.com/news/2024/09/from-climate-week-nyc-to-rwanda-to-azerbaijan-we-need-to-keep-putting-pressure-on-food-and-climate-solutions/")</f>
        <v>https://foodtank.com/news/2024/09/from-climate-week-nyc-to-rwanda-to-azerbaijan-we-need-to-keep-putting-pressure-on-food-and-climate-solutions/</v>
      </c>
      <c r="C2581" s="2" t="s">
        <v>1680</v>
      </c>
      <c r="D2581" s="3">
        <v>45552.89398148148</v>
      </c>
      <c r="E2581" s="2" t="s">
        <v>1685</v>
      </c>
    </row>
    <row r="2582" spans="1:5" ht="70" x14ac:dyDescent="0.2">
      <c r="A2582" s="2" t="s">
        <v>2693</v>
      </c>
      <c r="B2582" s="2" t="str">
        <f>HYPERLINK("https://www.vietnamplus.vn/che-do-an-nao-vua-tot-cho-ban-than-lai-vua-tot-cho-suc-khoe-hanh-tinh-post971197.vnp")</f>
        <v>https://www.vietnamplus.vn/che-do-an-nao-vua-tot-cho-ban-than-lai-vua-tot-cho-suc-khoe-hanh-tinh-post971197.vnp</v>
      </c>
      <c r="C2582" s="2" t="s">
        <v>3123</v>
      </c>
      <c r="D2582" s="3">
        <v>45553.041307870371</v>
      </c>
      <c r="E2582" s="2" t="s">
        <v>2235</v>
      </c>
    </row>
    <row r="2583" spans="1:5" ht="70" x14ac:dyDescent="0.2">
      <c r="A2583" s="2" t="s">
        <v>2233</v>
      </c>
      <c r="B2583" s="2" t="str">
        <f>HYPERLINK("https://www.moitruongvadothi.vn/che-do-an-nao-vua-tot-cho-ban-than-lai-vua-tot-cho-suc-khoe-hanh-tinh-a172467.html")</f>
        <v>https://www.moitruongvadothi.vn/che-do-an-nao-vua-tot-cho-ban-than-lai-vua-tot-cho-suc-khoe-hanh-tinh-a172467.html</v>
      </c>
      <c r="C2583" s="2" t="s">
        <v>2234</v>
      </c>
      <c r="D2583" s="3">
        <v>45553.224872685183</v>
      </c>
      <c r="E2583" s="2" t="s">
        <v>2235</v>
      </c>
    </row>
    <row r="2584" spans="1:5" ht="70" x14ac:dyDescent="0.2">
      <c r="A2584" s="2" t="s">
        <v>2693</v>
      </c>
      <c r="B2584" s="2" t="str">
        <f>HYPERLINK("https://vietgiaitri.com/che-do-an-nao-vua-tot-cho-ban-than-lai-vua-tot-cho-suc-khoe-hanh-tinh-20240918i7270455/")</f>
        <v>https://vietgiaitri.com/che-do-an-nao-vua-tot-cho-ban-than-lai-vua-tot-cho-suc-khoe-hanh-tinh-20240918i7270455/</v>
      </c>
      <c r="C2584" s="2" t="s">
        <v>2694</v>
      </c>
      <c r="D2584" s="3">
        <v>45553.306018518517</v>
      </c>
      <c r="E2584" s="2" t="s">
        <v>2235</v>
      </c>
    </row>
    <row r="2585" spans="1:5" ht="84" x14ac:dyDescent="0.2">
      <c r="A2585" s="2" t="s">
        <v>551</v>
      </c>
      <c r="B2585" s="2" t="str">
        <f>HYPERLINK("https://organicconsumers.org/us-pushed-countries-to-weaken-infant-formula-regulations-documents-show/")</f>
        <v>https://organicconsumers.org/us-pushed-countries-to-weaken-infant-formula-regulations-documents-show/</v>
      </c>
      <c r="C2585" s="2" t="s">
        <v>1484</v>
      </c>
      <c r="D2585" s="3">
        <v>45553.523622685178</v>
      </c>
      <c r="E2585" s="2" t="s">
        <v>1485</v>
      </c>
    </row>
    <row r="2586" spans="1:5" ht="56" x14ac:dyDescent="0.2">
      <c r="A2586" s="2" t="s">
        <v>3696</v>
      </c>
      <c r="B2586" s="2" t="str">
        <f>HYPERLINK("https://www.forbes.com/sites/maryroeloffs/2024/09/18/who-is-daniel-lubetzky-snack-food-billionaire-will-replace-mark-cuban-on-shark-tank/")</f>
        <v>https://www.forbes.com/sites/maryroeloffs/2024/09/18/who-is-daniel-lubetzky-snack-food-billionaire-will-replace-mark-cuban-on-shark-tank/</v>
      </c>
      <c r="C2586" s="2" t="s">
        <v>3695</v>
      </c>
      <c r="D2586" s="3">
        <v>45553.69326388889</v>
      </c>
      <c r="E2586" s="2" t="s">
        <v>3697</v>
      </c>
    </row>
    <row r="2587" spans="1:5" ht="84" x14ac:dyDescent="0.2">
      <c r="A2587" s="2" t="s">
        <v>2741</v>
      </c>
      <c r="B2587" s="2" t="str">
        <f>HYPERLINK("https://www.forbes.com.au/news/billionaires/who-is-daniel-lubetzky-snack-food-billionaire-will-replace-mark-cuban-on-shark-tank/")</f>
        <v>https://www.forbes.com.au/news/billionaires/who-is-daniel-lubetzky-snack-food-billionaire-will-replace-mark-cuban-on-shark-tank/</v>
      </c>
      <c r="C2587" s="2" t="s">
        <v>2742</v>
      </c>
      <c r="D2587" s="3">
        <v>45553.970046296286</v>
      </c>
      <c r="E2587" s="2" t="s">
        <v>2743</v>
      </c>
    </row>
    <row r="2588" spans="1:5" ht="84" x14ac:dyDescent="0.2">
      <c r="A2588" s="2" t="s">
        <v>437</v>
      </c>
      <c r="B2588" s="2" t="str">
        <f>HYPERLINK("https://www.nach-welt.com/austin-frerick-auf-linkedin-neue-rezension-frericks/")</f>
        <v>https://www.nach-welt.com/austin-frerick-auf-linkedin-neue-rezension-frericks/</v>
      </c>
      <c r="C2588" s="2" t="s">
        <v>431</v>
      </c>
      <c r="D2588" s="3">
        <v>45554.551932870367</v>
      </c>
      <c r="E2588" s="2" t="s">
        <v>438</v>
      </c>
    </row>
    <row r="2589" spans="1:5" ht="84" x14ac:dyDescent="0.2">
      <c r="A2589" s="2" t="s">
        <v>3445</v>
      </c>
      <c r="B2589" s="2" t="str">
        <f>HYPERLINK("https://www.lastampa.it/torinosette/2024/09/20/news/lequilibrio_perduto_tra_luomo_e_il_pianeta-14648056/")</f>
        <v>https://www.lastampa.it/torinosette/2024/09/20/news/lequilibrio_perduto_tra_luomo_e_il_pianeta-14648056/</v>
      </c>
      <c r="C2589" s="2" t="s">
        <v>3446</v>
      </c>
      <c r="D2589" s="3">
        <v>45555.026574074072</v>
      </c>
      <c r="E2589" s="2" t="s">
        <v>3447</v>
      </c>
    </row>
    <row r="2590" spans="1:5" ht="56" x14ac:dyDescent="0.2">
      <c r="A2590" s="2" t="s">
        <v>3252</v>
      </c>
      <c r="B2590" s="2" t="str">
        <f>HYPERLINK("https://super.abril.com.br/saude/por-que-e-tao-dificil-comer-bem")</f>
        <v>https://super.abril.com.br/saude/por-que-e-tao-dificil-comer-bem</v>
      </c>
      <c r="C2590" s="2" t="s">
        <v>3249</v>
      </c>
      <c r="D2590" s="3">
        <v>45555.458356481482</v>
      </c>
      <c r="E2590" s="2" t="s">
        <v>3253</v>
      </c>
    </row>
    <row r="2591" spans="1:5" ht="126" x14ac:dyDescent="0.2">
      <c r="A2591" s="2" t="s">
        <v>33</v>
      </c>
      <c r="B2591" s="2" t="str">
        <f>HYPERLINK("https://www.diariotecnologia.es/resolviendo-una-de-las-grandes-preguntas-sobre-las-mascotas-si-son-buenas-para-nuestra-salud-o-no")</f>
        <v>https://www.diariotecnologia.es/resolviendo-una-de-las-grandes-preguntas-sobre-las-mascotas-si-son-buenas-para-nuestra-salud-o-no</v>
      </c>
      <c r="C2591" s="2" t="s">
        <v>980</v>
      </c>
      <c r="D2591" s="3">
        <v>45557</v>
      </c>
      <c r="E2591" s="2" t="s">
        <v>35</v>
      </c>
    </row>
    <row r="2592" spans="1:5" ht="126" x14ac:dyDescent="0.2">
      <c r="A2592" s="2" t="s">
        <v>33</v>
      </c>
      <c r="B2592" s="2" t="str">
        <f>HYPERLINK("https://www.xataka.com/investigacion/resolviendo-una-de-las-grandes-preguntas-sobre-las-mascotas-si-son-buenas-para-nuestra-salud-o-no")</f>
        <v>https://www.xataka.com/investigacion/resolviendo-una-de-las-grandes-preguntas-sobre-las-mascotas-si-son-buenas-para-nuestra-salud-o-no</v>
      </c>
      <c r="C2592" s="2" t="s">
        <v>3565</v>
      </c>
      <c r="D2592" s="3">
        <v>45557.232453703713</v>
      </c>
      <c r="E2592" s="2" t="s">
        <v>35</v>
      </c>
    </row>
    <row r="2593" spans="1:5" ht="98" x14ac:dyDescent="0.2">
      <c r="A2593" s="2" t="s">
        <v>3818</v>
      </c>
      <c r="B2593" s="2" t="str">
        <f>HYPERLINK("https://lasverdades.net/tecnologia/si-son-buenas-para-nuestra-salud-o-no/")</f>
        <v>https://lasverdades.net/tecnologia/si-son-buenas-para-nuestra-salud-o-no/</v>
      </c>
      <c r="C2593" s="2" t="s">
        <v>3819</v>
      </c>
      <c r="D2593" s="3">
        <v>45557.252083333333</v>
      </c>
      <c r="E2593" s="2" t="s">
        <v>1000</v>
      </c>
    </row>
    <row r="2594" spans="1:5" ht="126" x14ac:dyDescent="0.2">
      <c r="A2594" s="2" t="s">
        <v>33</v>
      </c>
      <c r="B2594" s="2" t="str">
        <f>HYPERLINK("https://ckgeek.ckweb.cl/2024/09/resolviendo-una-de-las-grandes.html")</f>
        <v>https://ckgeek.ckweb.cl/2024/09/resolviendo-una-de-las-grandes.html</v>
      </c>
      <c r="C2594" s="2" t="s">
        <v>34</v>
      </c>
      <c r="D2594" s="3">
        <v>45557.371527777781</v>
      </c>
      <c r="E2594" s="2" t="s">
        <v>35</v>
      </c>
    </row>
    <row r="2595" spans="1:5" ht="98" x14ac:dyDescent="0.2">
      <c r="A2595" s="2" t="s">
        <v>998</v>
      </c>
      <c r="B2595" s="2" t="str">
        <f>HYPERLINK("https://www.sernoticias.com.mx/2024/09/22/resolviendo-una-de-las-grandes-preguntas-sobre-las-mascotas-si-son-buenas-para-nuestra-salud-o-no/")</f>
        <v>https://www.sernoticias.com.mx/2024/09/22/resolviendo-una-de-las-grandes-preguntas-sobre-las-mascotas-si-son-buenas-para-nuestra-salud-o-no/</v>
      </c>
      <c r="C2595" s="2" t="s">
        <v>999</v>
      </c>
      <c r="D2595" s="3">
        <v>45557.448495370372</v>
      </c>
      <c r="E2595" s="2" t="s">
        <v>1000</v>
      </c>
    </row>
    <row r="2596" spans="1:5" ht="98" x14ac:dyDescent="0.2">
      <c r="A2596" s="2" t="s">
        <v>2611</v>
      </c>
      <c r="B2596" s="2" t="str">
        <f>HYPERLINK("https://goodmenproject.com/featured-content/from-added-sugar-to-sodium-heres-how-us-dietary-recommendations-have-changed-over-the-last-50-years/")</f>
        <v>https://goodmenproject.com/featured-content/from-added-sugar-to-sodium-heres-how-us-dietary-recommendations-have-changed-over-the-last-50-years/</v>
      </c>
      <c r="C2596" s="2" t="s">
        <v>2610</v>
      </c>
      <c r="D2596" s="3">
        <v>45557.646053240736</v>
      </c>
      <c r="E2596" s="2" t="s">
        <v>824</v>
      </c>
    </row>
    <row r="2597" spans="1:5" ht="266" x14ac:dyDescent="0.2">
      <c r="A2597" s="2" t="s">
        <v>2545</v>
      </c>
      <c r="B2597" s="2" t="str">
        <f>HYPERLINK("https://deal.town/food-tank-the-food-think-tank/starting-right-nowrestaurants-and-farms-a-key-solution-to-the-climate-crisis-at-climate-week-nyc-P3J2WU9ZNN4")</f>
        <v>https://deal.town/food-tank-the-food-think-tank/starting-right-nowrestaurants-and-farms-a-key-solution-to-the-climate-crisis-at-climate-week-nyc-P3J2WU9ZNN4</v>
      </c>
      <c r="C2597" s="2" t="s">
        <v>2546</v>
      </c>
      <c r="D2597" s="3">
        <v>45558</v>
      </c>
      <c r="E2597" s="2" t="s">
        <v>2547</v>
      </c>
    </row>
    <row r="2598" spans="1:5" ht="70" x14ac:dyDescent="0.2">
      <c r="A2598" s="2" t="s">
        <v>72</v>
      </c>
      <c r="B2598" s="2" t="str">
        <f>HYPERLINK("https://bitebi.com/industry-funded-opinion-of-the-week-against-the-benefits-of-plant-based-diets/")</f>
        <v>https://bitebi.com/industry-funded-opinion-of-the-week-against-the-benefits-of-plant-based-diets/</v>
      </c>
      <c r="C2598" s="2" t="s">
        <v>15</v>
      </c>
      <c r="D2598" s="3">
        <v>45558.860879629632</v>
      </c>
      <c r="E2598" s="2" t="s">
        <v>73</v>
      </c>
    </row>
    <row r="2599" spans="1:5" ht="84" x14ac:dyDescent="0.2">
      <c r="A2599" s="2" t="s">
        <v>2885</v>
      </c>
      <c r="B2599" s="2" t="str">
        <f>HYPERLINK("https://www.nytimes.com/2024/09/24/dining/restaurant-portions.html")</f>
        <v>https://www.nytimes.com/2024/09/24/dining/restaurant-portions.html</v>
      </c>
      <c r="C2599" s="2" t="s">
        <v>3717</v>
      </c>
      <c r="D2599" s="3">
        <v>45559.216412037043</v>
      </c>
      <c r="E2599" s="2" t="s">
        <v>3723</v>
      </c>
    </row>
    <row r="2600" spans="1:5" ht="84" x14ac:dyDescent="0.2">
      <c r="A2600" s="2" t="s">
        <v>2885</v>
      </c>
      <c r="B2600" s="2" t="str">
        <f>HYPERLINK("https://dnyuz.com/2024/09/24/restaurant-portions-are-about-to-get-smaller-are-americans-ready/")</f>
        <v>https://dnyuz.com/2024/09/24/restaurant-portions-are-about-to-get-smaller-are-americans-ready/</v>
      </c>
      <c r="C2600" s="2" t="s">
        <v>2847</v>
      </c>
      <c r="D2600" s="3">
        <v>45559.220983796287</v>
      </c>
      <c r="E2600" s="2" t="s">
        <v>2886</v>
      </c>
    </row>
    <row r="2601" spans="1:5" ht="84" x14ac:dyDescent="0.2">
      <c r="A2601" s="2" t="s">
        <v>2913</v>
      </c>
      <c r="B2601" s="2" t="str">
        <f>HYPERLINK("https://www.seattletimes.com/life/food-drink/restaurant-portions-are-about-to-get-smaller-are-americans-ready/")</f>
        <v>https://www.seattletimes.com/life/food-drink/restaurant-portions-are-about-to-get-smaller-are-americans-ready/</v>
      </c>
      <c r="C2601" s="2" t="s">
        <v>3375</v>
      </c>
      <c r="D2601" s="3">
        <v>45559.944467592592</v>
      </c>
      <c r="E2601" s="2" t="s">
        <v>2886</v>
      </c>
    </row>
    <row r="2602" spans="1:5" ht="112" x14ac:dyDescent="0.2">
      <c r="A2602" s="2" t="s">
        <v>2554</v>
      </c>
      <c r="B2602" s="2" t="str">
        <f>HYPERLINK("https://deal.town/center-for-science-in-the-public-interest/how-to-find-the-best-nuts-and-seeds-PKCWQDFQ22E")</f>
        <v>https://deal.town/center-for-science-in-the-public-interest/how-to-find-the-best-nuts-and-seeds-PKCWQDFQ22E</v>
      </c>
      <c r="C2602" s="2" t="s">
        <v>2546</v>
      </c>
      <c r="D2602" s="3">
        <v>45560</v>
      </c>
      <c r="E2602" s="2" t="s">
        <v>2555</v>
      </c>
    </row>
    <row r="2603" spans="1:5" ht="70" x14ac:dyDescent="0.2">
      <c r="A2603" s="2" t="s">
        <v>1679</v>
      </c>
      <c r="B2603" s="2" t="str">
        <f>HYPERLINK("https://foodtank.com/news/2024/09/restaurants-and-farms-must-lead-the-way-in-empowering-consumers-and-taking-meaningful-climate-action/")</f>
        <v>https://foodtank.com/news/2024/09/restaurants-and-farms-must-lead-the-way-in-empowering-consumers-and-taking-meaningful-climate-action/</v>
      </c>
      <c r="C2603" s="2" t="s">
        <v>1680</v>
      </c>
      <c r="D2603" s="3">
        <v>45560.02</v>
      </c>
      <c r="E2603" s="2" t="s">
        <v>1681</v>
      </c>
    </row>
    <row r="2604" spans="1:5" ht="70" x14ac:dyDescent="0.2">
      <c r="A2604" s="2" t="s">
        <v>3547</v>
      </c>
      <c r="B2604" s="2" t="str">
        <f>HYPERLINK("https://www.politico.com/newsletters/politico-pulse/2024/09/25/hhs-study-brews-controversy-on-the-hill-00180850")</f>
        <v>https://www.politico.com/newsletters/politico-pulse/2024/09/25/hhs-study-brews-controversy-on-the-hill-00180850</v>
      </c>
      <c r="C2604" s="2" t="s">
        <v>3526</v>
      </c>
      <c r="D2604" s="3">
        <v>45560.416666666657</v>
      </c>
      <c r="E2604" s="2" t="s">
        <v>3548</v>
      </c>
    </row>
    <row r="2605" spans="1:5" ht="56" x14ac:dyDescent="0.2">
      <c r="A2605" s="2" t="s">
        <v>3850</v>
      </c>
      <c r="B2605" s="2" t="str">
        <f>HYPERLINK("https://livestly.com/why-ultra-processed-food-leads-to-cancer-mortality-and-poor-mental-health/")</f>
        <v>https://livestly.com/why-ultra-processed-food-leads-to-cancer-mortality-and-poor-mental-health/</v>
      </c>
      <c r="C2605" s="2" t="s">
        <v>3851</v>
      </c>
      <c r="D2605" s="3">
        <v>45560.881967592592</v>
      </c>
      <c r="E2605" s="2" t="s">
        <v>3852</v>
      </c>
    </row>
    <row r="2606" spans="1:5" ht="84" x14ac:dyDescent="0.2">
      <c r="A2606" s="2" t="s">
        <v>2913</v>
      </c>
      <c r="B2606" s="2" t="str">
        <f>HYPERLINK("https://www.businesstimes.com.sg/lifestyle/restaurant-portions-are-about-get-smaller-are-americans-ready")</f>
        <v>https://www.businesstimes.com.sg/lifestyle/restaurant-portions-are-about-get-smaller-are-americans-ready</v>
      </c>
      <c r="C2606" s="2" t="s">
        <v>2914</v>
      </c>
      <c r="D2606" s="3">
        <v>45561.245138888888</v>
      </c>
      <c r="E2606" s="2" t="s">
        <v>2886</v>
      </c>
    </row>
    <row r="2607" spans="1:5" ht="56" x14ac:dyDescent="0.2">
      <c r="A2607" s="2" t="s">
        <v>3241</v>
      </c>
      <c r="B2607" s="2" t="str">
        <f>HYPERLINK("https://www.gamberorosso.it/notizie/ristoranti-usa-diminiuscono-porzioni/")</f>
        <v>https://www.gamberorosso.it/notizie/ristoranti-usa-diminiuscono-porzioni/</v>
      </c>
      <c r="C2607" s="2" t="s">
        <v>3242</v>
      </c>
      <c r="D2607" s="3">
        <v>45561.442453703698</v>
      </c>
      <c r="E2607" s="2" t="s">
        <v>3243</v>
      </c>
    </row>
    <row r="2608" spans="1:5" ht="358" x14ac:dyDescent="0.2">
      <c r="A2608" s="2" t="s">
        <v>3598</v>
      </c>
      <c r="B2608" s="2" t="str">
        <f>HYPERLINK("https://www.eventbrite.com/e/the-role-of-technology-at-the-nexus-of-affordability-nutrition-food-waste-tickets-976101725537")</f>
        <v>https://www.eventbrite.com/e/the-role-of-technology-at-the-nexus-of-affordability-nutrition-food-waste-tickets-976101725537</v>
      </c>
      <c r="C2608" s="2" t="s">
        <v>3597</v>
      </c>
      <c r="D2608" s="3">
        <v>45561.526504629634</v>
      </c>
      <c r="E2608" s="2" t="s">
        <v>3599</v>
      </c>
    </row>
    <row r="2609" spans="1:5" ht="70" x14ac:dyDescent="0.2">
      <c r="A2609" s="2" t="s">
        <v>4058</v>
      </c>
      <c r="B2609" s="2" t="str">
        <f>HYPERLINK("https://wherethefoodcomesfrom.com/uk-nutrition-experts-have-many-ties-to-food-companies-conflicted-interests-anyone/")</f>
        <v>https://wherethefoodcomesfrom.com/uk-nutrition-experts-have-many-ties-to-food-companies-conflicted-interests-anyone/</v>
      </c>
      <c r="C2609" s="2" t="s">
        <v>3746</v>
      </c>
      <c r="D2609" s="3">
        <v>45561.619409722232</v>
      </c>
      <c r="E2609" s="2" t="s">
        <v>3786</v>
      </c>
    </row>
    <row r="2610" spans="1:5" ht="84" x14ac:dyDescent="0.2">
      <c r="A2610" s="2" t="s">
        <v>3991</v>
      </c>
      <c r="B2610" s="2" t="str">
        <f>HYPERLINK("https://www.ucpress.edu/blog-posts/recent-uc-press-book-signings")</f>
        <v>https://www.ucpress.edu/blog-posts/recent-uc-press-book-signings</v>
      </c>
      <c r="C2610" s="2" t="s">
        <v>3992</v>
      </c>
      <c r="D2610" s="3">
        <v>45562</v>
      </c>
      <c r="E2610" s="2" t="s">
        <v>3993</v>
      </c>
    </row>
    <row r="2611" spans="1:5" ht="98" x14ac:dyDescent="0.2">
      <c r="A2611" s="2" t="s">
        <v>2411</v>
      </c>
      <c r="B2611" s="2" t="str">
        <f>HYPERLINK("https://www.zazoom.it/2024-09-27/carenze-igienico-sanitarie-e-alimenti-scaduti-multe-in-un-fast-food-etnico/15459777/")</f>
        <v>https://www.zazoom.it/2024-09-27/carenze-igienico-sanitarie-e-alimenti-scaduti-multe-in-un-fast-food-etnico/15459777/</v>
      </c>
      <c r="C2611" s="2" t="s">
        <v>2412</v>
      </c>
      <c r="D2611" s="3">
        <v>45562.140462962961</v>
      </c>
      <c r="E2611" s="2" t="s">
        <v>2413</v>
      </c>
    </row>
    <row r="2612" spans="1:5" ht="56" x14ac:dyDescent="0.2">
      <c r="A2612" s="2" t="s">
        <v>3593</v>
      </c>
      <c r="B2612" s="2" t="str">
        <f>HYPERLINK("https://www.aol.com/opinion-congress-failure-pass-farm-143000759.html")</f>
        <v>https://www.aol.com/opinion-congress-failure-pass-farm-143000759.html</v>
      </c>
      <c r="C2612" s="2" t="s">
        <v>3592</v>
      </c>
      <c r="D2612" s="3">
        <v>45562.4375</v>
      </c>
      <c r="E2612" s="2" t="s">
        <v>3594</v>
      </c>
    </row>
    <row r="2613" spans="1:5" ht="56" x14ac:dyDescent="0.2">
      <c r="A2613" s="2" t="s">
        <v>3556</v>
      </c>
      <c r="B2613" s="2" t="str">
        <f>HYPERLINK("https://thehill.com/opinion/congress-blog/4902223-farm-bill-controversy-food-stamps/")</f>
        <v>https://thehill.com/opinion/congress-blog/4902223-farm-bill-controversy-food-stamps/</v>
      </c>
      <c r="C2613" s="2" t="s">
        <v>3557</v>
      </c>
      <c r="D2613" s="3">
        <v>45562.443749999999</v>
      </c>
      <c r="E2613" s="2" t="s">
        <v>3558</v>
      </c>
    </row>
    <row r="2614" spans="1:5" ht="70" x14ac:dyDescent="0.2">
      <c r="A2614" s="2" t="s">
        <v>131</v>
      </c>
      <c r="B2614" s="2" t="str">
        <f>HYPERLINK("https://bitebi.com/weekend-reading-industrial-farm-animal-production/")</f>
        <v>https://bitebi.com/weekend-reading-industrial-farm-animal-production/</v>
      </c>
      <c r="C2614" s="2" t="s">
        <v>15</v>
      </c>
      <c r="D2614" s="3">
        <v>45562.647962962961</v>
      </c>
      <c r="E2614" s="2" t="s">
        <v>132</v>
      </c>
    </row>
    <row r="2615" spans="1:5" ht="238" x14ac:dyDescent="0.2">
      <c r="A2615" s="2" t="s">
        <v>2548</v>
      </c>
      <c r="B2615" s="2" t="str">
        <f>HYPERLINK("https://deal.town/food-tank-the-food-think-tank/final-climate-week-summit-starts-right-now-the-role-of-technology-at-the-nexus-of-affordability-nutrition-and-food-waste-PKJT46FGNNJ")</f>
        <v>https://deal.town/food-tank-the-food-think-tank/final-climate-week-summit-starts-right-now-the-role-of-technology-at-the-nexus-of-affordability-nutrition-and-food-waste-PKJT46FGNNJ</v>
      </c>
      <c r="C2615" s="2" t="s">
        <v>2546</v>
      </c>
      <c r="D2615" s="3">
        <v>45562.953993055547</v>
      </c>
      <c r="E2615" s="2" t="s">
        <v>2549</v>
      </c>
    </row>
    <row r="2616" spans="1:5" ht="70" x14ac:dyDescent="0.2">
      <c r="A2616" s="2" t="s">
        <v>2837</v>
      </c>
      <c r="B2616" s="2" t="str">
        <f>HYPERLINK("https://blogs.mediapart.fr/geographies-en-mouvement/blog/280924/terra-madre-2024-2-slow-food-en-colere")</f>
        <v>https://blogs.mediapart.fr/geographies-en-mouvement/blog/280924/terra-madre-2024-2-slow-food-en-colere</v>
      </c>
      <c r="C2616" s="2" t="s">
        <v>2838</v>
      </c>
      <c r="D2616" s="3">
        <v>45563.460520833331</v>
      </c>
      <c r="E2616" s="2" t="s">
        <v>2839</v>
      </c>
    </row>
    <row r="2617" spans="1:5" ht="84" x14ac:dyDescent="0.2">
      <c r="A2617" s="2" t="s">
        <v>3472</v>
      </c>
      <c r="B2617" s="2" t="str">
        <f>HYPERLINK("https://www.estadao.com.br/economia/as-porcoes-dos-restaurantes-estao-prestes-a-ficar-menores-os-consumidores-estao-prontos/")</f>
        <v>https://www.estadao.com.br/economia/as-porcoes-dos-restaurantes-estao-prestes-a-ficar-menores-os-consumidores-estao-prontos/</v>
      </c>
      <c r="C2617" s="2" t="s">
        <v>3473</v>
      </c>
      <c r="D2617" s="3">
        <v>45563.650335648148</v>
      </c>
      <c r="E2617" s="2" t="s">
        <v>3474</v>
      </c>
    </row>
    <row r="2618" spans="1:5" ht="84" x14ac:dyDescent="0.2">
      <c r="A2618" s="2" t="s">
        <v>3472</v>
      </c>
      <c r="B2618" s="2" t="str">
        <f>HYPERLINK("https://mnegreiros.com/as-porcoes-dos-restaurantes-estao-prestes-a-ficar-menores-os-consumidores-estao-prontos/")</f>
        <v>https://mnegreiros.com/as-porcoes-dos-restaurantes-estao-prestes-a-ficar-menores-os-consumidores-estao-prontos/</v>
      </c>
      <c r="C2618" s="2" t="s">
        <v>4097</v>
      </c>
      <c r="D2618" s="3">
        <v>45563.672129629631</v>
      </c>
      <c r="E2618" s="2" t="s">
        <v>3474</v>
      </c>
    </row>
    <row r="2619" spans="1:5" ht="56" x14ac:dyDescent="0.2">
      <c r="A2619" s="2" t="s">
        <v>896</v>
      </c>
      <c r="B2619" s="2" t="str">
        <f>HYPERLINK("https://riaupagi.com/news/bagaimana-mcdonalds-dan-burger-king-dapat-untung-yang-harganya-ditawarkan-jauh-lebih-murah-202409294903/")</f>
        <v>https://riaupagi.com/news/bagaimana-mcdonalds-dan-burger-king-dapat-untung-yang-harganya-ditawarkan-jauh-lebih-murah-202409294903/</v>
      </c>
      <c r="C2619" s="2" t="s">
        <v>897</v>
      </c>
      <c r="D2619" s="3">
        <v>45564.26971064815</v>
      </c>
      <c r="E2619" s="2" t="s">
        <v>898</v>
      </c>
    </row>
    <row r="2620" spans="1:5" ht="70" x14ac:dyDescent="0.2">
      <c r="A2620" s="2" t="s">
        <v>805</v>
      </c>
      <c r="B2620" s="2" t="str">
        <f>HYPERLINK("https://geographiesenmouvement.com/2024/09/29/slow-food-se-met-en-colere-terra-madre-2024-2/")</f>
        <v>https://geographiesenmouvement.com/2024/09/29/slow-food-se-met-en-colere-terra-madre-2024-2/</v>
      </c>
      <c r="C2620" s="2" t="s">
        <v>806</v>
      </c>
      <c r="D2620" s="3">
        <v>45564.401909722219</v>
      </c>
      <c r="E2620" s="2" t="s">
        <v>807</v>
      </c>
    </row>
    <row r="2621" spans="1:5" ht="84" x14ac:dyDescent="0.2">
      <c r="A2621" s="2" t="s">
        <v>3581</v>
      </c>
      <c r="B2621" s="2" t="str">
        <f>HYPERLINK("https://oglobo.globo.com/economia/negocios/noticia/2024/09/29/por-que-os-pratos-estao-ficando-menores-nos-restaurantes-fenomeno-da-reduflacao-chega-a-mesa-nos-eua-e-clientes-torcem-o-nariz.ghtml")</f>
        <v>https://oglobo.globo.com/economia/negocios/noticia/2024/09/29/por-que-os-pratos-estao-ficando-menores-nos-restaurantes-fenomeno-da-reduflacao-chega-a-mesa-nos-eua-e-clientes-torcem-o-nariz.ghtml</v>
      </c>
      <c r="C2621" s="2" t="s">
        <v>3582</v>
      </c>
      <c r="D2621" s="3">
        <v>45564.50068287037</v>
      </c>
      <c r="E2621" s="2" t="s">
        <v>3583</v>
      </c>
    </row>
    <row r="2622" spans="1:5" ht="56" x14ac:dyDescent="0.2">
      <c r="A2622" s="2" t="s">
        <v>170</v>
      </c>
      <c r="B2622" s="2" t="str">
        <f>HYPERLINK("https://www.aol.co.uk/news/biggest-wellness-trends-2024-far-160039727.html")</f>
        <v>https://www.aol.co.uk/news/biggest-wellness-trends-2024-far-160039727.html</v>
      </c>
      <c r="C2622" s="2" t="s">
        <v>2925</v>
      </c>
      <c r="D2622" s="3">
        <v>45565.490057870367</v>
      </c>
      <c r="E2622" s="2" t="s">
        <v>172</v>
      </c>
    </row>
    <row r="2623" spans="1:5" ht="56" x14ac:dyDescent="0.2">
      <c r="A2623" s="2" t="s">
        <v>627</v>
      </c>
      <c r="B2623" s="2" t="str">
        <f>HYPERLINK("https://newsconcerns.com/red-light-therapy-is-trendy-but-does-it-work-the-biggest-wellness-trends-of-2024-well-actually/")</f>
        <v>https://newsconcerns.com/red-light-therapy-is-trendy-but-does-it-work-the-biggest-wellness-trends-of-2024-well-actually/</v>
      </c>
      <c r="C2623" s="2" t="s">
        <v>625</v>
      </c>
      <c r="D2623" s="3">
        <v>45565.604953703703</v>
      </c>
      <c r="E2623" s="2" t="s">
        <v>172</v>
      </c>
    </row>
    <row r="2624" spans="1:5" ht="56" x14ac:dyDescent="0.2">
      <c r="A2624" s="2" t="s">
        <v>31</v>
      </c>
      <c r="B2624" s="2" t="str">
        <f>HYPERLINK("https://bitebi.com/the-pcast-report-a-timid-step-forward/")</f>
        <v>https://bitebi.com/the-pcast-report-a-timid-step-forward/</v>
      </c>
      <c r="C2624" s="2" t="s">
        <v>15</v>
      </c>
      <c r="D2624" s="3">
        <v>45566.398784722223</v>
      </c>
      <c r="E2624" s="2" t="s">
        <v>32</v>
      </c>
    </row>
    <row r="2625" spans="1:5" ht="409.6" x14ac:dyDescent="0.2">
      <c r="A2625" s="2" t="s">
        <v>2049</v>
      </c>
      <c r="B2625" s="2" t="str">
        <f>HYPERLINK("https://ajph.aphapublications.org/doi/abs/10.2105/AJPH.2024.307877?af=R")</f>
        <v>https://ajph.aphapublications.org/doi/abs/10.2105/AJPH.2024.307877?af=R</v>
      </c>
      <c r="C2625" s="2" t="s">
        <v>2050</v>
      </c>
      <c r="D2625" s="3">
        <v>45567</v>
      </c>
      <c r="E2625" s="2" t="s">
        <v>2051</v>
      </c>
    </row>
    <row r="2626" spans="1:5" ht="98" x14ac:dyDescent="0.2">
      <c r="A2626" s="2" t="s">
        <v>1641</v>
      </c>
      <c r="B2626" s="2" t="str">
        <f>HYPERLINK("https://gwtoday.gwu.edu/gfi-joins-conversation-nyc-hosts-climate-week")</f>
        <v>https://gwtoday.gwu.edu/gfi-joins-conversation-nyc-hosts-climate-week</v>
      </c>
      <c r="C2626" s="2" t="s">
        <v>1642</v>
      </c>
      <c r="D2626" s="3">
        <v>45567.476006944453</v>
      </c>
      <c r="E2626" s="2" t="s">
        <v>1643</v>
      </c>
    </row>
    <row r="2627" spans="1:5" ht="98" x14ac:dyDescent="0.2">
      <c r="A2627" s="2" t="s">
        <v>51</v>
      </c>
      <c r="B2627" s="2" t="str">
        <f>HYPERLINK("https://bitebi.com/edibles-a-roundup-of-items/")</f>
        <v>https://bitebi.com/edibles-a-roundup-of-items/</v>
      </c>
      <c r="C2627" s="2" t="s">
        <v>15</v>
      </c>
      <c r="D2627" s="3">
        <v>45568.485960648148</v>
      </c>
      <c r="E2627" s="2" t="s">
        <v>97</v>
      </c>
    </row>
    <row r="2628" spans="1:5" ht="56" x14ac:dyDescent="0.2">
      <c r="A2628" s="2" t="s">
        <v>923</v>
      </c>
      <c r="B2628" s="2" t="str">
        <f>HYPERLINK("https://australiannationalreview.com/lifestyle/the-hunger-for-clarity-regarding-nutrition/")</f>
        <v>https://australiannationalreview.com/lifestyle/the-hunger-for-clarity-regarding-nutrition/</v>
      </c>
      <c r="C2628" s="2" t="s">
        <v>918</v>
      </c>
      <c r="D2628" s="3">
        <v>45569.55127314815</v>
      </c>
      <c r="E2628" s="2" t="s">
        <v>924</v>
      </c>
    </row>
    <row r="2629" spans="1:5" ht="70" x14ac:dyDescent="0.2">
      <c r="A2629" s="2" t="s">
        <v>1799</v>
      </c>
      <c r="B2629" s="2" t="str">
        <f>HYPERLINK("https://www.epochtimes.com.br/saude/a-fome-de-clareza-quando-o-assunto-e-nutricao-205030.html")</f>
        <v>https://www.epochtimes.com.br/saude/a-fome-de-clareza-quando-o-assunto-e-nutricao-205030.html</v>
      </c>
      <c r="C2629" s="2" t="s">
        <v>1797</v>
      </c>
      <c r="D2629" s="3">
        <v>45569.892569444448</v>
      </c>
      <c r="E2629" s="2" t="s">
        <v>1800</v>
      </c>
    </row>
    <row r="2630" spans="1:5" ht="70" x14ac:dyDescent="0.2">
      <c r="A2630" s="2" t="s">
        <v>1682</v>
      </c>
      <c r="B2630" s="2" t="str">
        <f>HYPERLINK("https://foodtank.com/news/2024/10/community-food-security-and-health-equity-are-the-backbones-of-climate-progress/")</f>
        <v>https://foodtank.com/news/2024/10/community-food-security-and-health-equity-are-the-backbones-of-climate-progress/</v>
      </c>
      <c r="C2630" s="2" t="s">
        <v>1680</v>
      </c>
      <c r="D2630" s="3">
        <v>45570.073333333326</v>
      </c>
      <c r="E2630" s="2" t="s">
        <v>1683</v>
      </c>
    </row>
    <row r="2631" spans="1:5" ht="84" x14ac:dyDescent="0.2">
      <c r="A2631" s="2" t="s">
        <v>3434</v>
      </c>
      <c r="B2631" s="2" t="str">
        <f>HYPERLINK("https://www.jpost.com/opinion/article-823270")</f>
        <v>https://www.jpost.com/opinion/article-823270</v>
      </c>
      <c r="C2631" s="2" t="s">
        <v>3435</v>
      </c>
      <c r="D2631" s="3">
        <v>45570.804386574076</v>
      </c>
      <c r="E2631" s="2" t="s">
        <v>3436</v>
      </c>
    </row>
    <row r="2632" spans="1:5" ht="70" x14ac:dyDescent="0.2">
      <c r="A2632" s="2" t="s">
        <v>4152</v>
      </c>
      <c r="B2632" s="2" t="str">
        <f>HYPERLINK("https://telugustates.net/musica/em-meio-a-epoca-festiva-judaica-compreender-a-boa-nutricao-e-vital/91880/")</f>
        <v>https://telugustates.net/musica/em-meio-a-epoca-festiva-judaica-compreender-a-boa-nutricao-e-vital/91880/</v>
      </c>
      <c r="C2632" s="2" t="s">
        <v>4153</v>
      </c>
      <c r="D2632" s="3">
        <v>45571.131145833337</v>
      </c>
      <c r="E2632" s="2" t="s">
        <v>4154</v>
      </c>
    </row>
    <row r="2633" spans="1:5" ht="70" x14ac:dyDescent="0.2">
      <c r="A2633" s="2" t="s">
        <v>3829</v>
      </c>
      <c r="B2633" s="2" t="str">
        <f>HYPERLINK("https://www.kiskegyed.hu/eletmod/gyulmolcsokben-es-zoldsegekben-gazdag-etrend-betegsegek/2v5qj6z")</f>
        <v>https://www.kiskegyed.hu/eletmod/gyulmolcsokben-es-zoldsegekben-gazdag-etrend-betegsegek/2v5qj6z</v>
      </c>
      <c r="C2633" s="2" t="s">
        <v>3830</v>
      </c>
      <c r="D2633" s="3">
        <v>45572.417361111111</v>
      </c>
      <c r="E2633" s="2" t="s">
        <v>3831</v>
      </c>
    </row>
    <row r="2634" spans="1:5" ht="70" x14ac:dyDescent="0.2">
      <c r="A2634" s="2" t="s">
        <v>2606</v>
      </c>
      <c r="B2634" s="2" t="str">
        <f>HYPERLINK("https://www.motherearthnews.com/natural-health/avoid-salt-and-reduce-your-blood-pressure-zmaz07jjzsel/")</f>
        <v>https://www.motherearthnews.com/natural-health/avoid-salt-and-reduce-your-blood-pressure-zmaz07jjzsel/</v>
      </c>
      <c r="C2634" s="2" t="s">
        <v>2607</v>
      </c>
      <c r="D2634" s="3">
        <v>45573.25</v>
      </c>
      <c r="E2634" s="2" t="s">
        <v>2608</v>
      </c>
    </row>
    <row r="2635" spans="1:5" ht="112" x14ac:dyDescent="0.2">
      <c r="A2635" s="2" t="s">
        <v>1781</v>
      </c>
      <c r="B2635" s="2" t="str">
        <f>HYPERLINK("https://civileats.com/2024/10/09/can-trump-and-robert-f-kennedy-jr-make-america-healthy-again/")</f>
        <v>https://civileats.com/2024/10/09/can-trump-and-robert-f-kennedy-jr-make-america-healthy-again/</v>
      </c>
      <c r="C2635" s="2" t="s">
        <v>1782</v>
      </c>
      <c r="D2635" s="3">
        <v>45574.234606481477</v>
      </c>
      <c r="E2635" s="2" t="s">
        <v>1783</v>
      </c>
    </row>
    <row r="2636" spans="1:5" ht="56" x14ac:dyDescent="0.2">
      <c r="A2636" s="2" t="s">
        <v>224</v>
      </c>
      <c r="B2636" s="2" t="str">
        <f>HYPERLINK("https://www.forbes.com/sites/patrickgleason/2024/10/10/congress-demands-greater-transparency-for-dietary-guidelines-review/")</f>
        <v>https://www.forbes.com/sites/patrickgleason/2024/10/10/congress-demands-greater-transparency-for-dietary-guidelines-review/</v>
      </c>
      <c r="C2636" s="2" t="s">
        <v>3695</v>
      </c>
      <c r="D2636" s="3">
        <v>45575.484432870369</v>
      </c>
      <c r="E2636" s="2" t="s">
        <v>225</v>
      </c>
    </row>
    <row r="2637" spans="1:5" ht="70" x14ac:dyDescent="0.2">
      <c r="A2637" s="2" t="s">
        <v>4180</v>
      </c>
      <c r="B2637" s="2" t="str">
        <f>HYPERLINK("https://foodscience.org/interviews/")</f>
        <v>https://foodscience.org/interviews/</v>
      </c>
      <c r="C2637" s="2" t="s">
        <v>4181</v>
      </c>
      <c r="D2637" s="3">
        <v>45575.587187500001</v>
      </c>
      <c r="E2637" s="2" t="s">
        <v>4182</v>
      </c>
    </row>
    <row r="2638" spans="1:5" ht="56" x14ac:dyDescent="0.2">
      <c r="A2638" s="2" t="s">
        <v>224</v>
      </c>
      <c r="B2638" s="2" t="str">
        <f>HYPERLINK("https://health-reporter.news/congress-demands-greater-transparency-for-dietary-guidelines-review/")</f>
        <v>https://health-reporter.news/congress-demands-greater-transparency-for-dietary-guidelines-review/</v>
      </c>
      <c r="C2638" s="2" t="s">
        <v>222</v>
      </c>
      <c r="D2638" s="3">
        <v>45576.094212962962</v>
      </c>
      <c r="E2638" s="2" t="s">
        <v>225</v>
      </c>
    </row>
    <row r="2639" spans="1:5" ht="112" x14ac:dyDescent="0.2">
      <c r="A2639" s="2" t="s">
        <v>3539</v>
      </c>
      <c r="B2639" s="2" t="str">
        <f>HYPERLINK("https://www.eltiempo.com/salud/el-alimento-que-podria-reducir-el-riesgo-de-diabetes-tipo-2-segun-la-fda-pautas-especificas-y-como-consumirlo-3389483")</f>
        <v>https://www.eltiempo.com/salud/el-alimento-que-podria-reducir-el-riesgo-de-diabetes-tipo-2-segun-la-fda-pautas-especificas-y-como-consumirlo-3389483</v>
      </c>
      <c r="C2639" s="2" t="s">
        <v>3540</v>
      </c>
      <c r="D2639" s="3">
        <v>45576.519652777781</v>
      </c>
      <c r="E2639" s="2" t="s">
        <v>3260</v>
      </c>
    </row>
    <row r="2640" spans="1:5" ht="84" x14ac:dyDescent="0.2">
      <c r="A2640" s="2" t="s">
        <v>4144</v>
      </c>
      <c r="B2640" s="2" t="str">
        <f>HYPERLINK("https://eltiempomx.com/noticia/2024/alimento-que-podria-reducir-el-riesgo-de-diabetes-tipo-2-segun-la-fda-pautas-especificas-y-como-consumirlo.html")</f>
        <v>https://eltiempomx.com/noticia/2024/alimento-que-podria-reducir-el-riesgo-de-diabetes-tipo-2-segun-la-fda-pautas-especificas-y-como-consumirlo.html</v>
      </c>
      <c r="C2640" s="2" t="s">
        <v>4145</v>
      </c>
      <c r="D2640" s="3">
        <v>45578.892060185193</v>
      </c>
      <c r="E2640" s="2" t="s">
        <v>4146</v>
      </c>
    </row>
    <row r="2641" spans="1:5" ht="112" x14ac:dyDescent="0.2">
      <c r="A2641" s="2" t="s">
        <v>2863</v>
      </c>
      <c r="B2641" s="2" t="str">
        <f>HYPERLINK("https://currently.att.yahoo.com/att/cm/people-spend-20-000-resort-114006254.html")</f>
        <v>https://currently.att.yahoo.com/att/cm/people-spend-20-000-resort-114006254.html</v>
      </c>
      <c r="C2641" s="2" t="s">
        <v>3420</v>
      </c>
      <c r="D2641" s="3">
        <v>45579.319513888891</v>
      </c>
      <c r="E2641" s="2" t="s">
        <v>3421</v>
      </c>
    </row>
    <row r="2642" spans="1:5" ht="112" x14ac:dyDescent="0.2">
      <c r="A2642" s="2" t="s">
        <v>2863</v>
      </c>
      <c r="B2642" s="2" t="str">
        <f>HYPERLINK("https://www.aol.com/people-spend-20-000-resort-114006254.html")</f>
        <v>https://www.aol.com/people-spend-20-000-resort-114006254.html</v>
      </c>
      <c r="C2642" s="2" t="s">
        <v>3592</v>
      </c>
      <c r="D2642" s="3">
        <v>45579.319513888891</v>
      </c>
      <c r="E2642" s="2" t="s">
        <v>3421</v>
      </c>
    </row>
    <row r="2643" spans="1:5" ht="112" x14ac:dyDescent="0.2">
      <c r="A2643" s="2" t="s">
        <v>2863</v>
      </c>
      <c r="B2643" s="2" t="str">
        <f>HYPERLINK("https://www.usatoday.com/story/life/health-wellness/2024/10/14/canyon-ranch-longevity-program/75296883007/")</f>
        <v>https://www.usatoday.com/story/life/health-wellness/2024/10/14/canyon-ranch-longevity-program/75296883007/</v>
      </c>
      <c r="C2643" s="2" t="s">
        <v>3687</v>
      </c>
      <c r="D2643" s="3">
        <v>45579.319513888891</v>
      </c>
      <c r="E2643" s="2" t="s">
        <v>3688</v>
      </c>
    </row>
    <row r="2644" spans="1:5" ht="84" x14ac:dyDescent="0.2">
      <c r="A2644" s="2" t="s">
        <v>2863</v>
      </c>
      <c r="B2644" s="2" t="str">
        <f>HYPERLINK("https://www.yahoo.com/lifestyle/people-spend-20-000-resort-114006254.html")</f>
        <v>https://www.yahoo.com/lifestyle/people-spend-20-000-resort-114006254.html</v>
      </c>
      <c r="C2644" s="2" t="s">
        <v>3726</v>
      </c>
      <c r="D2644" s="3">
        <v>45579.319513888891</v>
      </c>
      <c r="E2644" s="2" t="s">
        <v>2864</v>
      </c>
    </row>
    <row r="2645" spans="1:5" ht="70" x14ac:dyDescent="0.2">
      <c r="A2645" s="2" t="s">
        <v>2861</v>
      </c>
      <c r="B2645" s="2" t="str">
        <f>HYPERLINK("https://www.aol.com/diabetics-glucose-monitors-non-diabetics-114805521.html")</f>
        <v>https://www.aol.com/diabetics-glucose-monitors-non-diabetics-114805521.html</v>
      </c>
      <c r="C2645" s="2" t="s">
        <v>3592</v>
      </c>
      <c r="D2645" s="3">
        <v>45579.325057870366</v>
      </c>
      <c r="E2645" s="2" t="s">
        <v>3596</v>
      </c>
    </row>
    <row r="2646" spans="1:5" ht="84" x14ac:dyDescent="0.2">
      <c r="A2646" s="2" t="s">
        <v>2861</v>
      </c>
      <c r="B2646" s="2" t="str">
        <f>HYPERLINK("https://www.usatoday.com/story/life/health-wellness/2024/10/14/cgm-continuous-glucose-monitoring/75479909007/")</f>
        <v>https://www.usatoday.com/story/life/health-wellness/2024/10/14/cgm-continuous-glucose-monitoring/75479909007/</v>
      </c>
      <c r="C2646" s="2" t="s">
        <v>3687</v>
      </c>
      <c r="D2646" s="3">
        <v>45579.325057870366</v>
      </c>
      <c r="E2646" s="2" t="s">
        <v>2862</v>
      </c>
    </row>
    <row r="2647" spans="1:5" ht="84" x14ac:dyDescent="0.2">
      <c r="A2647" s="2" t="s">
        <v>2861</v>
      </c>
      <c r="B2647" s="2" t="str">
        <f>HYPERLINK("https://www.yahoo.com/lifestyle/diabetics-glucose-monitors-non-diabetics-114805521.html")</f>
        <v>https://www.yahoo.com/lifestyle/diabetics-glucose-monitors-non-diabetics-114805521.html</v>
      </c>
      <c r="C2647" s="2" t="s">
        <v>3726</v>
      </c>
      <c r="D2647" s="3">
        <v>45579.325057870366</v>
      </c>
      <c r="E2647" s="2" t="s">
        <v>2862</v>
      </c>
    </row>
    <row r="2648" spans="1:5" ht="84" x14ac:dyDescent="0.2">
      <c r="A2648" s="2" t="s">
        <v>2861</v>
      </c>
      <c r="B2648" s="2" t="str">
        <f>HYPERLINK("https://ca.style.yahoo.com/diabetics-glucose-monitors-non-diabetics-114805521.html")</f>
        <v>https://ca.style.yahoo.com/diabetics-glucose-monitors-non-diabetics-114805521.html</v>
      </c>
      <c r="C2648" s="2" t="s">
        <v>2813</v>
      </c>
      <c r="D2648" s="3">
        <v>45579.334675925929</v>
      </c>
      <c r="E2648" s="2" t="s">
        <v>2862</v>
      </c>
    </row>
    <row r="2649" spans="1:5" ht="84" x14ac:dyDescent="0.2">
      <c r="A2649" s="2" t="s">
        <v>2863</v>
      </c>
      <c r="B2649" s="2" t="str">
        <f>HYPERLINK("https://ca.style.yahoo.com/people-spend-20-000-resort-114006254.html")</f>
        <v>https://ca.style.yahoo.com/people-spend-20-000-resort-114006254.html</v>
      </c>
      <c r="C2649" s="2" t="s">
        <v>2813</v>
      </c>
      <c r="D2649" s="3">
        <v>45579.335023148153</v>
      </c>
      <c r="E2649" s="2" t="s">
        <v>2864</v>
      </c>
    </row>
    <row r="2650" spans="1:5" ht="112" x14ac:dyDescent="0.2">
      <c r="A2650" s="2" t="s">
        <v>3259</v>
      </c>
      <c r="B2650" s="2" t="str">
        <f>HYPERLINK("https://www.elpais.com.uy/bienestar/nutricion/este-alimento-puede-reducir-el-riesgo-de-diabetes-tipo-2-pautas-especificas-y-como-consumirlo")</f>
        <v>https://www.elpais.com.uy/bienestar/nutricion/este-alimento-puede-reducir-el-riesgo-de-diabetes-tipo-2-pautas-especificas-y-como-consumirlo</v>
      </c>
      <c r="C2650" s="2" t="s">
        <v>3257</v>
      </c>
      <c r="D2650" s="3">
        <v>45579.625</v>
      </c>
      <c r="E2650" s="2" t="s">
        <v>3260</v>
      </c>
    </row>
    <row r="2651" spans="1:5" ht="56" x14ac:dyDescent="0.2">
      <c r="A2651" s="2" t="s">
        <v>66</v>
      </c>
      <c r="B2651" s="2" t="str">
        <f>HYPERLINK("https://bitebi.com/industry-sponsored-marketing-of-the-week-honey/")</f>
        <v>https://bitebi.com/industry-sponsored-marketing-of-the-week-honey/</v>
      </c>
      <c r="C2651" s="2" t="s">
        <v>15</v>
      </c>
      <c r="D2651" s="3">
        <v>45579.69017361111</v>
      </c>
      <c r="E2651" s="2" t="s">
        <v>67</v>
      </c>
    </row>
    <row r="2652" spans="1:5" ht="70" x14ac:dyDescent="0.2">
      <c r="A2652" s="2" t="s">
        <v>2494</v>
      </c>
      <c r="B2652" s="2" t="str">
        <f>HYPERLINK("https://www.inkl.com/news/project-2025-dietary-rollbacks-would-limit-fight-against-ultra-processed-foods")</f>
        <v>https://www.inkl.com/news/project-2025-dietary-rollbacks-would-limit-fight-against-ultra-processed-foods</v>
      </c>
      <c r="C2652" s="2" t="s">
        <v>2569</v>
      </c>
      <c r="D2652" s="3">
        <v>45580.334016203713</v>
      </c>
      <c r="E2652" s="2" t="s">
        <v>223</v>
      </c>
    </row>
    <row r="2653" spans="1:5" ht="70" x14ac:dyDescent="0.2">
      <c r="A2653" s="2" t="s">
        <v>2494</v>
      </c>
      <c r="B2653" s="2" t="str">
        <f>HYPERLINK("https://www.theguardian.com/environment/2024/oct/15/project-2025-food-farming-policies")</f>
        <v>https://www.theguardian.com/environment/2024/oct/15/project-2025-food-farming-policies</v>
      </c>
      <c r="C2653" s="2" t="s">
        <v>3686</v>
      </c>
      <c r="D2653" s="3">
        <v>45580.34107638889</v>
      </c>
      <c r="E2653" s="2" t="s">
        <v>223</v>
      </c>
    </row>
    <row r="2654" spans="1:5" ht="56" x14ac:dyDescent="0.2">
      <c r="A2654" s="2" t="s">
        <v>4163</v>
      </c>
      <c r="B2654" s="2" t="str">
        <f>HYPERLINK("https://oficinista.mx/noticias/los-retrocesos-dieteticos-del-proyecto-2025-limitarian-la-lucha-contra-los-alimentos-ultraprocesados/242901/")</f>
        <v>https://oficinista.mx/noticias/los-retrocesos-dieteticos-del-proyecto-2025-limitarian-la-lucha-contra-los-alimentos-ultraprocesados/242901/</v>
      </c>
      <c r="C2654" s="2" t="s">
        <v>4164</v>
      </c>
      <c r="D2654" s="3">
        <v>45580.365833333337</v>
      </c>
      <c r="E2654" s="2" t="s">
        <v>4165</v>
      </c>
    </row>
    <row r="2655" spans="1:5" ht="42" x14ac:dyDescent="0.2">
      <c r="A2655" s="2" t="s">
        <v>2494</v>
      </c>
      <c r="B2655" s="2" t="str">
        <f>HYPERLINK("https://www.democraticunderground.com/10143322891")</f>
        <v>https://www.democraticunderground.com/10143322891</v>
      </c>
      <c r="C2655" s="2" t="s">
        <v>2495</v>
      </c>
      <c r="D2655" s="3">
        <v>45580.517025462963</v>
      </c>
      <c r="E2655" s="2" t="s">
        <v>2496</v>
      </c>
    </row>
    <row r="2656" spans="1:5" ht="42" x14ac:dyDescent="0.2">
      <c r="A2656" s="2" t="s">
        <v>2499</v>
      </c>
      <c r="B2656" s="2" t="str">
        <f>HYPERLINK("https://www.democraticunderground.com/1016387477")</f>
        <v>https://www.democraticunderground.com/1016387477</v>
      </c>
      <c r="C2656" s="2" t="s">
        <v>2495</v>
      </c>
      <c r="D2656" s="3">
        <v>45580.584733796299</v>
      </c>
      <c r="E2656" s="2" t="s">
        <v>2496</v>
      </c>
    </row>
    <row r="2657" spans="1:5" ht="70" x14ac:dyDescent="0.2">
      <c r="A2657" s="2" t="s">
        <v>186</v>
      </c>
      <c r="B2657" s="2" t="str">
        <f>HYPERLINK("https://www.rv-times.com/nation_world/dietary-guidelines-become-mired-in-war-over-alcohol-safety/article_993ed906-7726-528e-a6b8-c496e63dd552.html")</f>
        <v>https://www.rv-times.com/nation_world/dietary-guidelines-become-mired-in-war-over-alcohol-safety/article_993ed906-7726-528e-a6b8-c496e63dd552.html</v>
      </c>
      <c r="C2657" s="2" t="s">
        <v>1711</v>
      </c>
      <c r="D2657" s="3">
        <v>45581</v>
      </c>
      <c r="E2657" s="2" t="s">
        <v>571</v>
      </c>
    </row>
    <row r="2658" spans="1:5" ht="70" x14ac:dyDescent="0.2">
      <c r="A2658" s="2" t="s">
        <v>186</v>
      </c>
      <c r="B2658" s="2" t="str">
        <f>HYPERLINK("https://www.union-bulletin.com/news/national/dietary-guidelines-become-mired-in-war-over-alcohol-safety/article_cb10455b-28ec-5e54-824e-f415a49615ee.html")</f>
        <v>https://www.union-bulletin.com/news/national/dietary-guidelines-become-mired-in-war-over-alcohol-safety/article_cb10455b-28ec-5e54-824e-f415a49615ee.html</v>
      </c>
      <c r="C2658" s="2" t="s">
        <v>1877</v>
      </c>
      <c r="D2658" s="3">
        <v>45581</v>
      </c>
      <c r="E2658" s="2" t="s">
        <v>571</v>
      </c>
    </row>
    <row r="2659" spans="1:5" ht="70" x14ac:dyDescent="0.2">
      <c r="A2659" s="2" t="s">
        <v>186</v>
      </c>
      <c r="B2659" s="2" t="str">
        <f>HYPERLINK("https://www.dailyitem.com/wire/dietary-guidelines-become-mired-in-war-over-alcohol-safety/article_bceb41f7-3b1a-5483-823f-fc6fdda83c80.html")</f>
        <v>https://www.dailyitem.com/wire/dietary-guidelines-become-mired-in-war-over-alcohol-safety/article_bceb41f7-3b1a-5483-823f-fc6fdda83c80.html</v>
      </c>
      <c r="C2659" s="2" t="s">
        <v>2128</v>
      </c>
      <c r="D2659" s="3">
        <v>45581</v>
      </c>
      <c r="E2659" s="2" t="s">
        <v>571</v>
      </c>
    </row>
    <row r="2660" spans="1:5" ht="70" x14ac:dyDescent="0.2">
      <c r="A2660" s="2" t="s">
        <v>186</v>
      </c>
      <c r="B2660" s="2" t="str">
        <f>HYPERLINK("https://www.arcamax.com/politics/politicalnews/s-3451477")</f>
        <v>https://www.arcamax.com/politics/politicalnews/s-3451477</v>
      </c>
      <c r="C2660" s="2" t="s">
        <v>2841</v>
      </c>
      <c r="D2660" s="3">
        <v>45581</v>
      </c>
      <c r="E2660" s="2" t="s">
        <v>571</v>
      </c>
    </row>
    <row r="2661" spans="1:5" ht="70" x14ac:dyDescent="0.2">
      <c r="A2661" s="2" t="s">
        <v>2576</v>
      </c>
      <c r="B2661" s="2" t="str">
        <f>HYPERLINK("https://www.inkl.com/news/dietary-guidelines-become-mired-in-war-over-alcohol-safety-roll-call")</f>
        <v>https://www.inkl.com/news/dietary-guidelines-become-mired-in-war-over-alcohol-safety-roll-call</v>
      </c>
      <c r="C2661" s="2" t="s">
        <v>2569</v>
      </c>
      <c r="D2661" s="3">
        <v>45581.104166666657</v>
      </c>
      <c r="E2661" s="2" t="s">
        <v>571</v>
      </c>
    </row>
    <row r="2662" spans="1:5" ht="70" x14ac:dyDescent="0.2">
      <c r="A2662" s="2" t="s">
        <v>186</v>
      </c>
      <c r="B2662" s="2" t="str">
        <f>HYPERLINK("https://rollcall.com/2024/10/16/dietary-guidelines-become-mired-in-war-over-alcohol-safety/")</f>
        <v>https://rollcall.com/2024/10/16/dietary-guidelines-become-mired-in-war-over-alcohol-safety/</v>
      </c>
      <c r="C2662" s="2" t="s">
        <v>2699</v>
      </c>
      <c r="D2662" s="3">
        <v>45581.281018518523</v>
      </c>
      <c r="E2662" s="2" t="s">
        <v>571</v>
      </c>
    </row>
    <row r="2663" spans="1:5" ht="70" x14ac:dyDescent="0.2">
      <c r="A2663" s="2" t="s">
        <v>221</v>
      </c>
      <c r="B2663" s="2" t="str">
        <f>HYPERLINK("https://health-reporter.news/project-2025-dietary-rollbacks-would-limit-fight-against-ultra-processed-foods-us-elections-2024/")</f>
        <v>https://health-reporter.news/project-2025-dietary-rollbacks-would-limit-fight-against-ultra-processed-foods-us-elections-2024/</v>
      </c>
      <c r="C2663" s="2" t="s">
        <v>222</v>
      </c>
      <c r="D2663" s="3">
        <v>45581.383958333332</v>
      </c>
      <c r="E2663" s="2" t="s">
        <v>223</v>
      </c>
    </row>
    <row r="2664" spans="1:5" ht="70" x14ac:dyDescent="0.2">
      <c r="A2664" s="2" t="s">
        <v>186</v>
      </c>
      <c r="B2664" s="2" t="str">
        <f>HYPERLINK("https://www.sentinelsource.com/news/national_world/dietary-guidelines-become-mired-in-war-over-alcohol-safety/article_fb50eb60-8bea-11ef-9afd-e7198ba333e5.html")</f>
        <v>https://www.sentinelsource.com/news/national_world/dietary-guidelines-become-mired-in-war-over-alcohol-safety/article_fb50eb60-8bea-11ef-9afd-e7198ba333e5.html</v>
      </c>
      <c r="C2664" s="2" t="s">
        <v>2002</v>
      </c>
      <c r="D2664" s="3">
        <v>45581.759027777778</v>
      </c>
      <c r="E2664" s="2" t="s">
        <v>571</v>
      </c>
    </row>
    <row r="2665" spans="1:5" ht="70" x14ac:dyDescent="0.2">
      <c r="A2665" s="2" t="s">
        <v>186</v>
      </c>
      <c r="B2665" s="2" t="str">
        <f>HYPERLINK("https://www.westhawaiitoday.com/2024/10/17/nation-world-news/dietary-guidelines-become-mired-in-war-over-alcohol-safety/")</f>
        <v>https://www.westhawaiitoday.com/2024/10/17/nation-world-news/dietary-guidelines-become-mired-in-war-over-alcohol-safety/</v>
      </c>
      <c r="C2665" s="2" t="s">
        <v>1713</v>
      </c>
      <c r="D2665" s="3">
        <v>45582.253472222219</v>
      </c>
      <c r="E2665" s="2" t="s">
        <v>571</v>
      </c>
    </row>
    <row r="2666" spans="1:5" ht="70" x14ac:dyDescent="0.2">
      <c r="A2666" s="2" t="s">
        <v>186</v>
      </c>
      <c r="B2666" s="2" t="str">
        <f>HYPERLINK("https://www.hawaiitribune-herald.com/2024/10/17/nation-world-news/dietary-guidelines-become-mired-in-war-over-alcohol-safety/")</f>
        <v>https://www.hawaiitribune-herald.com/2024/10/17/nation-world-news/dietary-guidelines-become-mired-in-war-over-alcohol-safety/</v>
      </c>
      <c r="C2666" s="2" t="s">
        <v>1943</v>
      </c>
      <c r="D2666" s="3">
        <v>45582.253472222219</v>
      </c>
      <c r="E2666" s="2" t="s">
        <v>571</v>
      </c>
    </row>
    <row r="2667" spans="1:5" ht="84" x14ac:dyDescent="0.2">
      <c r="A2667" s="2" t="s">
        <v>88</v>
      </c>
      <c r="B2667" s="2" t="str">
        <f>HYPERLINK("https://gothamist.com/arts-entertainment/is-this-coffee-pouch-being-sold-in-nyc-more-like-capri-sun-or-a-colostomy-bag")</f>
        <v>https://gothamist.com/arts-entertainment/is-this-coffee-pouch-being-sold-in-nyc-more-like-capri-sun-or-a-colostomy-bag</v>
      </c>
      <c r="C2667" s="2" t="s">
        <v>3102</v>
      </c>
      <c r="D2667" s="3">
        <v>45582.257210648153</v>
      </c>
      <c r="E2667" s="2" t="s">
        <v>90</v>
      </c>
    </row>
    <row r="2668" spans="1:5" ht="84" x14ac:dyDescent="0.2">
      <c r="A2668" s="2" t="s">
        <v>88</v>
      </c>
      <c r="B2668" s="2" t="str">
        <f>HYPERLINK("https://www.postxnews.com/is-this-coffee-pouch-being-sold-in-nyc-more-like-capri-sun-or-a-colostomy-bag/")</f>
        <v>https://www.postxnews.com/is-this-coffee-pouch-being-sold-in-nyc-more-like-capri-sun-or-a-colostomy-bag/</v>
      </c>
      <c r="C2668" s="2" t="s">
        <v>89</v>
      </c>
      <c r="D2668" s="3">
        <v>45582.268287037034</v>
      </c>
      <c r="E2668" s="2" t="s">
        <v>90</v>
      </c>
    </row>
    <row r="2669" spans="1:5" ht="56" x14ac:dyDescent="0.2">
      <c r="A2669" s="2" t="s">
        <v>14</v>
      </c>
      <c r="B2669" s="2" t="str">
        <f>HYPERLINK("https://bitebi.com/pet-food-ii-the-environmental-impact/")</f>
        <v>https://bitebi.com/pet-food-ii-the-environmental-impact/</v>
      </c>
      <c r="C2669" s="2" t="s">
        <v>15</v>
      </c>
      <c r="D2669" s="3">
        <v>45582.440185185187</v>
      </c>
      <c r="E2669" s="2" t="s">
        <v>16</v>
      </c>
    </row>
    <row r="2670" spans="1:5" ht="98" x14ac:dyDescent="0.2">
      <c r="A2670" s="2" t="s">
        <v>1042</v>
      </c>
      <c r="B2670" s="2" t="str">
        <f>HYPERLINK("https://coffeetalk.com/daily-dose/for-roasters-retailers/10-2024/105119/")</f>
        <v>https://coffeetalk.com/daily-dose/for-roasters-retailers/10-2024/105119/</v>
      </c>
      <c r="C2670" s="2" t="s">
        <v>1043</v>
      </c>
      <c r="D2670" s="3">
        <v>45582.540694444448</v>
      </c>
      <c r="E2670" s="2" t="s">
        <v>1044</v>
      </c>
    </row>
    <row r="2671" spans="1:5" ht="70" x14ac:dyDescent="0.2">
      <c r="A2671" s="2" t="s">
        <v>186</v>
      </c>
      <c r="B2671" s="2" t="str">
        <f>HYPERLINK("https://www.mendocinobeacon.com/2024/10/17/dietary-guidelines-become-mired-in-war-over-alcohol-safety/")</f>
        <v>https://www.mendocinobeacon.com/2024/10/17/dietary-guidelines-become-mired-in-war-over-alcohol-safety/</v>
      </c>
      <c r="C2671" s="2" t="s">
        <v>906</v>
      </c>
      <c r="D2671" s="3">
        <v>45582.661747685182</v>
      </c>
      <c r="E2671" s="2" t="s">
        <v>571</v>
      </c>
    </row>
    <row r="2672" spans="1:5" ht="70" x14ac:dyDescent="0.2">
      <c r="A2672" s="2" t="s">
        <v>186</v>
      </c>
      <c r="B2672" s="2" t="str">
        <f>HYPERLINK("https://www.willitsnews.com/2024/10/17/dietary-guidelines-become-mired-in-war-over-alcohol-safety/")</f>
        <v>https://www.willitsnews.com/2024/10/17/dietary-guidelines-become-mired-in-war-over-alcohol-safety/</v>
      </c>
      <c r="C2672" s="2" t="s">
        <v>969</v>
      </c>
      <c r="D2672" s="3">
        <v>45582.661747685182</v>
      </c>
      <c r="E2672" s="2" t="s">
        <v>571</v>
      </c>
    </row>
    <row r="2673" spans="1:5" ht="70" x14ac:dyDescent="0.2">
      <c r="A2673" s="2" t="s">
        <v>186</v>
      </c>
      <c r="B2673" s="2" t="str">
        <f>HYPERLINK("https://www.timesheraldonline.com/2024/10/17/dietary-guidelines-become-mired-in-war-over-alcohol-safety/")</f>
        <v>https://www.timesheraldonline.com/2024/10/17/dietary-guidelines-become-mired-in-war-over-alcohol-safety/</v>
      </c>
      <c r="C2673" s="2" t="s">
        <v>1828</v>
      </c>
      <c r="D2673" s="3">
        <v>45582.661747685182</v>
      </c>
      <c r="E2673" s="2" t="s">
        <v>571</v>
      </c>
    </row>
    <row r="2674" spans="1:5" ht="70" x14ac:dyDescent="0.2">
      <c r="A2674" s="2" t="s">
        <v>186</v>
      </c>
      <c r="B2674" s="2" t="str">
        <f>HYPERLINK("https://www.whittierdailynews.com/2024/10/17/dietary-guidelines-become-mired-in-war-over-alcohol-safety/")</f>
        <v>https://www.whittierdailynews.com/2024/10/17/dietary-guidelines-become-mired-in-war-over-alcohol-safety/</v>
      </c>
      <c r="C2674" s="2" t="s">
        <v>1889</v>
      </c>
      <c r="D2674" s="3">
        <v>45582.661747685182</v>
      </c>
      <c r="E2674" s="2" t="s">
        <v>571</v>
      </c>
    </row>
    <row r="2675" spans="1:5" ht="70" x14ac:dyDescent="0.2">
      <c r="A2675" s="2" t="s">
        <v>186</v>
      </c>
      <c r="B2675" s="2" t="str">
        <f>HYPERLINK("https://www.macombdaily.com/2024/10/17/dietary-guidelines-become-mired-in-war-over-alcohol-safety/")</f>
        <v>https://www.macombdaily.com/2024/10/17/dietary-guidelines-become-mired-in-war-over-alcohol-safety/</v>
      </c>
      <c r="C2675" s="2" t="s">
        <v>2264</v>
      </c>
      <c r="D2675" s="3">
        <v>45582.661747685182</v>
      </c>
      <c r="E2675" s="2" t="s">
        <v>571</v>
      </c>
    </row>
    <row r="2676" spans="1:5" ht="70" x14ac:dyDescent="0.2">
      <c r="A2676" s="2" t="s">
        <v>186</v>
      </c>
      <c r="B2676" s="2" t="str">
        <f>HYPERLINK("https://www.courant.com/2024/10/17/dietary-guidelines-become-mired-in-war-over-alcohol-safety/")</f>
        <v>https://www.courant.com/2024/10/17/dietary-guidelines-become-mired-in-war-over-alcohol-safety/</v>
      </c>
      <c r="C2676" s="2" t="s">
        <v>2872</v>
      </c>
      <c r="D2676" s="3">
        <v>45582.661747685182</v>
      </c>
      <c r="E2676" s="2" t="s">
        <v>571</v>
      </c>
    </row>
    <row r="2677" spans="1:5" ht="70" x14ac:dyDescent="0.2">
      <c r="A2677" s="2" t="s">
        <v>3994</v>
      </c>
      <c r="B2677" s="2" t="str">
        <f>HYPERLINK("https://blogjaun.com/dietary-guidelines-become-mired-in-war-over-alcohol-safety-whittier-daily-news/")</f>
        <v>https://blogjaun.com/dietary-guidelines-become-mired-in-war-over-alcohol-safety-whittier-daily-news/</v>
      </c>
      <c r="C2677" s="2" t="s">
        <v>3995</v>
      </c>
      <c r="D2677" s="3">
        <v>45582.661747685182</v>
      </c>
      <c r="E2677" s="2" t="s">
        <v>571</v>
      </c>
    </row>
    <row r="2678" spans="1:5" ht="70" x14ac:dyDescent="0.2">
      <c r="A2678" s="2" t="s">
        <v>186</v>
      </c>
      <c r="B2678" s="2" t="str">
        <f>HYPERLINK("https://www.dailydemocrat.com/2024/10/17/dietary-guidelines-become-mired-in-war-over-alcohol-safety/")</f>
        <v>https://www.dailydemocrat.com/2024/10/17/dietary-guidelines-become-mired-in-war-over-alcohol-safety/</v>
      </c>
      <c r="C2678" s="2" t="s">
        <v>1814</v>
      </c>
      <c r="D2678" s="3">
        <v>45582.662673611107</v>
      </c>
      <c r="E2678" s="2" t="s">
        <v>571</v>
      </c>
    </row>
    <row r="2679" spans="1:5" ht="70" x14ac:dyDescent="0.2">
      <c r="A2679" s="2" t="s">
        <v>186</v>
      </c>
      <c r="B2679" s="2" t="str">
        <f>HYPERLINK("https://www.sentinelandenterprise.com/2024/10/17/dietary-guidelines-become-mired-in-war-over-alcohol-safety/")</f>
        <v>https://www.sentinelandenterprise.com/2024/10/17/dietary-guidelines-become-mired-in-war-over-alcohol-safety/</v>
      </c>
      <c r="C2679" s="2" t="s">
        <v>1768</v>
      </c>
      <c r="D2679" s="3">
        <v>45582.662835648152</v>
      </c>
      <c r="E2679" s="2" t="s">
        <v>571</v>
      </c>
    </row>
    <row r="2680" spans="1:5" ht="70" x14ac:dyDescent="0.2">
      <c r="A2680" s="2" t="s">
        <v>186</v>
      </c>
      <c r="B2680" s="2" t="str">
        <f>HYPERLINK("https://www.fortmorgantimes.com/2024/10/17/dietary-guidelines-become-mired-in-war-over-alcohol-safety/")</f>
        <v>https://www.fortmorgantimes.com/2024/10/17/dietary-guidelines-become-mired-in-war-over-alcohol-safety/</v>
      </c>
      <c r="C2680" s="2" t="s">
        <v>1275</v>
      </c>
      <c r="D2680" s="3">
        <v>45582.662893518522</v>
      </c>
      <c r="E2680" s="2" t="s">
        <v>571</v>
      </c>
    </row>
    <row r="2681" spans="1:5" ht="70" x14ac:dyDescent="0.2">
      <c r="A2681" s="2" t="s">
        <v>186</v>
      </c>
      <c r="B2681" s="2" t="str">
        <f>HYPERLINK("https://www.sbsun.com/2024/10/17/dietary-guidelines-become-mired-in-war-over-alcohol-safety/")</f>
        <v>https://www.sbsun.com/2024/10/17/dietary-guidelines-become-mired-in-war-over-alcohol-safety/</v>
      </c>
      <c r="C2681" s="2" t="s">
        <v>2414</v>
      </c>
      <c r="D2681" s="3">
        <v>45582.662905092591</v>
      </c>
      <c r="E2681" s="2" t="s">
        <v>571</v>
      </c>
    </row>
    <row r="2682" spans="1:5" ht="70" x14ac:dyDescent="0.2">
      <c r="A2682" s="2" t="s">
        <v>186</v>
      </c>
      <c r="B2682" s="2" t="str">
        <f>HYPERLINK("https://www.redbluffdailynews.com/2024/10/17/dietary-guidelines-become-mired-in-war-over-alcohol-safety/")</f>
        <v>https://www.redbluffdailynews.com/2024/10/17/dietary-guidelines-become-mired-in-war-over-alcohol-safety/</v>
      </c>
      <c r="C2682" s="2" t="s">
        <v>1397</v>
      </c>
      <c r="D2682" s="3">
        <v>45582.662951388891</v>
      </c>
      <c r="E2682" s="2" t="s">
        <v>571</v>
      </c>
    </row>
    <row r="2683" spans="1:5" ht="70" x14ac:dyDescent="0.2">
      <c r="A2683" s="2" t="s">
        <v>186</v>
      </c>
      <c r="B2683" s="2" t="str">
        <f>HYPERLINK("https://www.dailyfreeman.com/2024/10/17/dietary-guidelines-become-mired-in-war-over-alcohol-safety/")</f>
        <v>https://www.dailyfreeman.com/2024/10/17/dietary-guidelines-become-mired-in-war-over-alcohol-safety/</v>
      </c>
      <c r="C2683" s="2" t="s">
        <v>2108</v>
      </c>
      <c r="D2683" s="3">
        <v>45582.663136574083</v>
      </c>
      <c r="E2683" s="2" t="s">
        <v>571</v>
      </c>
    </row>
    <row r="2684" spans="1:5" ht="70" x14ac:dyDescent="0.2">
      <c r="A2684" s="2" t="s">
        <v>186</v>
      </c>
      <c r="B2684" s="2" t="str">
        <f>HYPERLINK("https://www.theoaklandpress.com/2024/10/17/dietary-guidelines-become-mired-in-war-over-alcohol-safety/")</f>
        <v>https://www.theoaklandpress.com/2024/10/17/dietary-guidelines-become-mired-in-war-over-alcohol-safety/</v>
      </c>
      <c r="C2684" s="2" t="s">
        <v>2405</v>
      </c>
      <c r="D2684" s="3">
        <v>45582.663136574083</v>
      </c>
      <c r="E2684" s="2" t="s">
        <v>571</v>
      </c>
    </row>
    <row r="2685" spans="1:5" ht="70" x14ac:dyDescent="0.2">
      <c r="A2685" s="2" t="s">
        <v>186</v>
      </c>
      <c r="B2685" s="2" t="str">
        <f>HYPERLINK("https://www.thereporter.com/2024/10/17/dietary-guidelines-become-mired-in-war-over-alcohol-safety/")</f>
        <v>https://www.thereporter.com/2024/10/17/dietary-guidelines-become-mired-in-war-over-alcohol-safety/</v>
      </c>
      <c r="C2685" s="2" t="s">
        <v>1788</v>
      </c>
      <c r="D2685" s="3">
        <v>45582.663194444453</v>
      </c>
      <c r="E2685" s="2" t="s">
        <v>571</v>
      </c>
    </row>
    <row r="2686" spans="1:5" ht="70" x14ac:dyDescent="0.2">
      <c r="A2686" s="2" t="s">
        <v>186</v>
      </c>
      <c r="B2686" s="2" t="str">
        <f>HYPERLINK("https://www.advocate-news.com/2024/10/17/dietary-guidelines-become-mired-in-war-over-alcohol-safety/")</f>
        <v>https://www.advocate-news.com/2024/10/17/dietary-guidelines-become-mired-in-war-over-alcohol-safety/</v>
      </c>
      <c r="C2686" s="2" t="s">
        <v>1111</v>
      </c>
      <c r="D2686" s="3">
        <v>45582.663425925923</v>
      </c>
      <c r="E2686" s="2" t="s">
        <v>571</v>
      </c>
    </row>
    <row r="2687" spans="1:5" ht="70" x14ac:dyDescent="0.2">
      <c r="A2687" s="2" t="s">
        <v>186</v>
      </c>
      <c r="B2687" s="2" t="str">
        <f>HYPERLINK("https://www.thereporteronline.com/2024/10/17/dietary-guidelines-become-mired-in-war-over-alcohol-safety/")</f>
        <v>https://www.thereporteronline.com/2024/10/17/dietary-guidelines-become-mired-in-war-over-alcohol-safety/</v>
      </c>
      <c r="C2687" s="2" t="s">
        <v>1804</v>
      </c>
      <c r="D2687" s="3">
        <v>45582.663425925923</v>
      </c>
      <c r="E2687" s="2" t="s">
        <v>571</v>
      </c>
    </row>
    <row r="2688" spans="1:5" ht="70" x14ac:dyDescent="0.2">
      <c r="A2688" s="2" t="s">
        <v>186</v>
      </c>
      <c r="B2688" s="2" t="str">
        <f>HYPERLINK("https://www.redlandsdailyfacts.com/2024/10/17/dietary-guidelines-become-mired-in-war-over-alcohol-safety/")</f>
        <v>https://www.redlandsdailyfacts.com/2024/10/17/dietary-guidelines-become-mired-in-war-over-alcohol-safety/</v>
      </c>
      <c r="C2688" s="2" t="s">
        <v>1852</v>
      </c>
      <c r="D2688" s="3">
        <v>45582.663425925923</v>
      </c>
      <c r="E2688" s="2" t="s">
        <v>571</v>
      </c>
    </row>
    <row r="2689" spans="1:5" ht="70" x14ac:dyDescent="0.2">
      <c r="A2689" s="2" t="s">
        <v>186</v>
      </c>
      <c r="B2689" s="2" t="str">
        <f>HYPERLINK("https://www.baltimoresun.com/2024/10/17/dietary-guidelines-become-mired-in-war-over-alcohol-safety/")</f>
        <v>https://www.baltimoresun.com/2024/10/17/dietary-guidelines-become-mired-in-war-over-alcohol-safety/</v>
      </c>
      <c r="C2689" s="2" t="s">
        <v>3079</v>
      </c>
      <c r="D2689" s="3">
        <v>45582.663425925923</v>
      </c>
      <c r="E2689" s="2" t="s">
        <v>187</v>
      </c>
    </row>
    <row r="2690" spans="1:5" ht="70" x14ac:dyDescent="0.2">
      <c r="A2690" s="2" t="s">
        <v>186</v>
      </c>
      <c r="B2690" s="2" t="str">
        <f>HYPERLINK("https://www.pasadenastarnews.com/2024/10/17/dietary-guidelines-become-mired-in-war-over-alcohol-safety/")</f>
        <v>https://www.pasadenastarnews.com/2024/10/17/dietary-guidelines-become-mired-in-war-over-alcohol-safety/</v>
      </c>
      <c r="C2690" s="2" t="s">
        <v>2131</v>
      </c>
      <c r="D2690" s="3">
        <v>45582.663530092592</v>
      </c>
      <c r="E2690" s="2" t="s">
        <v>187</v>
      </c>
    </row>
    <row r="2691" spans="1:5" ht="70" x14ac:dyDescent="0.2">
      <c r="A2691" s="2" t="s">
        <v>186</v>
      </c>
      <c r="B2691" s="2" t="str">
        <f>HYPERLINK("https://www.twincities.com/2024/10/17/dietary-guidelines-become-mired-in-war-over-alcohol-safety/")</f>
        <v>https://www.twincities.com/2024/10/17/dietary-guidelines-become-mired-in-war-over-alcohol-safety/</v>
      </c>
      <c r="C2691" s="2" t="s">
        <v>2844</v>
      </c>
      <c r="D2691" s="3">
        <v>45582.663530092592</v>
      </c>
      <c r="E2691" s="2" t="s">
        <v>571</v>
      </c>
    </row>
    <row r="2692" spans="1:5" ht="70" x14ac:dyDescent="0.2">
      <c r="A2692" s="2" t="s">
        <v>186</v>
      </c>
      <c r="B2692" s="2" t="str">
        <f>HYPERLINK("https://www.lowellsun.com/2024/10/17/dietary-guidelines-become-mired-in-war-over-alcohol-safety/")</f>
        <v>https://www.lowellsun.com/2024/10/17/dietary-guidelines-become-mired-in-war-over-alcohol-safety/</v>
      </c>
      <c r="C2692" s="2" t="s">
        <v>2068</v>
      </c>
      <c r="D2692" s="3">
        <v>45582.663541666669</v>
      </c>
      <c r="E2692" s="2" t="s">
        <v>571</v>
      </c>
    </row>
    <row r="2693" spans="1:5" ht="70" x14ac:dyDescent="0.2">
      <c r="A2693" s="2" t="s">
        <v>186</v>
      </c>
      <c r="B2693" s="2" t="str">
        <f>HYPERLINK("https://www.chicoer.com/2024/10/17/dietary-guidelines-become-mired-in-war-over-alcohol-safety/")</f>
        <v>https://www.chicoer.com/2024/10/17/dietary-guidelines-become-mired-in-war-over-alcohol-safety/</v>
      </c>
      <c r="C2693" s="2" t="s">
        <v>1923</v>
      </c>
      <c r="D2693" s="3">
        <v>45582.663703703707</v>
      </c>
      <c r="E2693" s="2" t="s">
        <v>571</v>
      </c>
    </row>
    <row r="2694" spans="1:5" ht="70" x14ac:dyDescent="0.2">
      <c r="A2694" s="2" t="s">
        <v>186</v>
      </c>
      <c r="B2694" s="2" t="str">
        <f>HYPERLINK("https://www.troyrecord.com/2024/10/17/dietary-guidelines-become-mired-in-war-over-alcohol-safety/")</f>
        <v>https://www.troyrecord.com/2024/10/17/dietary-guidelines-become-mired-in-war-over-alcohol-safety/</v>
      </c>
      <c r="C2694" s="2" t="s">
        <v>1426</v>
      </c>
      <c r="D2694" s="3">
        <v>45582.663819444453</v>
      </c>
      <c r="E2694" s="2" t="s">
        <v>571</v>
      </c>
    </row>
    <row r="2695" spans="1:5" ht="70" x14ac:dyDescent="0.2">
      <c r="A2695" s="2" t="s">
        <v>186</v>
      </c>
      <c r="B2695" s="2" t="str">
        <f>HYPERLINK("https://www.pressandguide.com/2024/10/17/dietary-guidelines-become-mired-in-war-over-alcohol-safety/")</f>
        <v>https://www.pressandguide.com/2024/10/17/dietary-guidelines-become-mired-in-war-over-alcohol-safety/</v>
      </c>
      <c r="C2695" s="2" t="s">
        <v>1370</v>
      </c>
      <c r="D2695" s="3">
        <v>45582.663831018523</v>
      </c>
      <c r="E2695" s="2" t="s">
        <v>571</v>
      </c>
    </row>
    <row r="2696" spans="1:5" ht="70" x14ac:dyDescent="0.2">
      <c r="A2696" s="2" t="s">
        <v>186</v>
      </c>
      <c r="B2696" s="2" t="str">
        <f>HYPERLINK("https://www.montereyherald.com/2024/10/17/dietary-guidelines-become-mired-in-war-over-alcohol-safety/")</f>
        <v>https://www.montereyherald.com/2024/10/17/dietary-guidelines-become-mired-in-war-over-alcohol-safety/</v>
      </c>
      <c r="C2696" s="2" t="s">
        <v>2126</v>
      </c>
      <c r="D2696" s="3">
        <v>45582.663831018523</v>
      </c>
      <c r="E2696" s="2" t="s">
        <v>571</v>
      </c>
    </row>
    <row r="2697" spans="1:5" ht="70" x14ac:dyDescent="0.2">
      <c r="A2697" s="2" t="s">
        <v>186</v>
      </c>
      <c r="B2697" s="2" t="str">
        <f>HYPERLINK("https://www.nashobavalleyvoice.com/2024/10/17/dietary-guidelines-become-mired-in-war-over-alcohol-safety/")</f>
        <v>https://www.nashobavalleyvoice.com/2024/10/17/dietary-guidelines-become-mired-in-war-over-alcohol-safety/</v>
      </c>
      <c r="C2697" s="2" t="s">
        <v>317</v>
      </c>
      <c r="D2697" s="3">
        <v>45582.663935185177</v>
      </c>
      <c r="E2697" s="2" t="s">
        <v>571</v>
      </c>
    </row>
    <row r="2698" spans="1:5" ht="70" x14ac:dyDescent="0.2">
      <c r="A2698" s="2" t="s">
        <v>186</v>
      </c>
      <c r="B2698" s="2" t="str">
        <f>HYPERLINK("https://www.news-herald.com/2024/10/17/dietary-guidelines-become-mired-in-war-over-alcohol-safety/")</f>
        <v>https://www.news-herald.com/2024/10/17/dietary-guidelines-become-mired-in-war-over-alcohol-safety/</v>
      </c>
      <c r="C2698" s="2" t="s">
        <v>2438</v>
      </c>
      <c r="D2698" s="3">
        <v>45582.663946759261</v>
      </c>
      <c r="E2698" s="2" t="s">
        <v>571</v>
      </c>
    </row>
    <row r="2699" spans="1:5" ht="70" x14ac:dyDescent="0.2">
      <c r="A2699" s="2" t="s">
        <v>186</v>
      </c>
      <c r="B2699" s="2" t="str">
        <f>HYPERLINK("https://www.coloradohometownweekly.com/2024/10/17/dietary-guidelines-become-mired-in-war-over-alcohol-safety/")</f>
        <v>https://www.coloradohometownweekly.com/2024/10/17/dietary-guidelines-become-mired-in-war-over-alcohol-safety/</v>
      </c>
      <c r="C2699" s="2" t="s">
        <v>1205</v>
      </c>
      <c r="D2699" s="3">
        <v>45582.664050925923</v>
      </c>
      <c r="E2699" s="2" t="s">
        <v>571</v>
      </c>
    </row>
    <row r="2700" spans="1:5" ht="70" x14ac:dyDescent="0.2">
      <c r="A2700" s="2" t="s">
        <v>186</v>
      </c>
      <c r="B2700" s="2" t="str">
        <f>HYPERLINK("https://www.paradisepost.com/2024/10/17/dietary-guidelines-become-mired-in-war-over-alcohol-safety/")</f>
        <v>https://www.paradisepost.com/2024/10/17/dietary-guidelines-become-mired-in-war-over-alcohol-safety/</v>
      </c>
      <c r="C2700" s="2" t="s">
        <v>1018</v>
      </c>
      <c r="D2700" s="3">
        <v>45582.6640625</v>
      </c>
      <c r="E2700" s="2" t="s">
        <v>571</v>
      </c>
    </row>
    <row r="2701" spans="1:5" ht="70" x14ac:dyDescent="0.2">
      <c r="A2701" s="2" t="s">
        <v>186</v>
      </c>
      <c r="B2701" s="2" t="str">
        <f>HYPERLINK("https://www.timescall.com/2024/10/17/dietary-guidelines-become-mired-in-war-over-alcohol-safety/")</f>
        <v>https://www.timescall.com/2024/10/17/dietary-guidelines-become-mired-in-war-over-alcohol-safety/</v>
      </c>
      <c r="C2701" s="2" t="s">
        <v>2229</v>
      </c>
      <c r="D2701" s="3">
        <v>45582.664074074077</v>
      </c>
      <c r="E2701" s="2" t="s">
        <v>571</v>
      </c>
    </row>
    <row r="2702" spans="1:5" ht="70" x14ac:dyDescent="0.2">
      <c r="A2702" s="2" t="s">
        <v>186</v>
      </c>
      <c r="B2702" s="2" t="str">
        <f>HYPERLINK("https://www.themorningsun.com/2024/10/17/dietary-guidelines-become-mired-in-war-over-alcohol-safety/")</f>
        <v>https://www.themorningsun.com/2024/10/17/dietary-guidelines-become-mired-in-war-over-alcohol-safety/</v>
      </c>
      <c r="C2702" s="2" t="s">
        <v>1829</v>
      </c>
      <c r="D2702" s="3">
        <v>45582.664085648154</v>
      </c>
      <c r="E2702" s="2" t="s">
        <v>571</v>
      </c>
    </row>
    <row r="2703" spans="1:5" ht="70" x14ac:dyDescent="0.2">
      <c r="A2703" s="2" t="s">
        <v>186</v>
      </c>
      <c r="B2703" s="2" t="str">
        <f>HYPERLINK("https://www.ocregister.com/2024/10/17/dietary-guidelines-become-mired-in-war-over-alcohol-safety/")</f>
        <v>https://www.ocregister.com/2024/10/17/dietary-guidelines-become-mired-in-war-over-alcohol-safety/</v>
      </c>
      <c r="C2703" s="2" t="s">
        <v>3103</v>
      </c>
      <c r="D2703" s="3">
        <v>45582.6641087963</v>
      </c>
      <c r="E2703" s="2" t="s">
        <v>571</v>
      </c>
    </row>
    <row r="2704" spans="1:5" ht="70" x14ac:dyDescent="0.2">
      <c r="A2704" s="2" t="s">
        <v>186</v>
      </c>
      <c r="B2704" s="2" t="str">
        <f>HYPERLINK("https://www.dailytribune.com/2024/10/17/dietary-guidelines-become-mired-in-war-over-alcohol-safety/")</f>
        <v>https://www.dailytribune.com/2024/10/17/dietary-guidelines-become-mired-in-war-over-alcohol-safety/</v>
      </c>
      <c r="C2704" s="2" t="s">
        <v>1438</v>
      </c>
      <c r="D2704" s="3">
        <v>45582.664166666669</v>
      </c>
      <c r="E2704" s="2" t="s">
        <v>571</v>
      </c>
    </row>
    <row r="2705" spans="1:5" ht="70" x14ac:dyDescent="0.2">
      <c r="A2705" s="2" t="s">
        <v>186</v>
      </c>
      <c r="B2705" s="2" t="str">
        <f>HYPERLINK("https://www.trentonian.com/2024/10/17/dietary-guidelines-become-mired-in-war-over-alcohol-safety/")</f>
        <v>https://www.trentonian.com/2024/10/17/dietary-guidelines-become-mired-in-war-over-alcohol-safety/</v>
      </c>
      <c r="C2705" s="2" t="s">
        <v>1941</v>
      </c>
      <c r="D2705" s="3">
        <v>45582.664166666669</v>
      </c>
      <c r="E2705" s="2" t="s">
        <v>571</v>
      </c>
    </row>
    <row r="2706" spans="1:5" ht="70" x14ac:dyDescent="0.2">
      <c r="A2706" s="2" t="s">
        <v>186</v>
      </c>
      <c r="B2706" s="2" t="str">
        <f>HYPERLINK("https://www.greeleytribune.com/2024/10/17/dietary-guidelines-become-mired-in-war-over-alcohol-safety/")</f>
        <v>https://www.greeleytribune.com/2024/10/17/dietary-guidelines-become-mired-in-war-over-alcohol-safety/</v>
      </c>
      <c r="C2706" s="2" t="s">
        <v>2231</v>
      </c>
      <c r="D2706" s="3">
        <v>45582.664282407408</v>
      </c>
      <c r="E2706" s="2" t="s">
        <v>571</v>
      </c>
    </row>
    <row r="2707" spans="1:5" ht="70" x14ac:dyDescent="0.2">
      <c r="A2707" s="2" t="s">
        <v>186</v>
      </c>
      <c r="B2707" s="2" t="str">
        <f>HYPERLINK("https://www.record-bee.com/2024/10/17/dietary-guidelines-become-mired-in-war-over-alcohol-safety/")</f>
        <v>https://www.record-bee.com/2024/10/17/dietary-guidelines-become-mired-in-war-over-alcohol-safety/</v>
      </c>
      <c r="C2707" s="2" t="s">
        <v>1244</v>
      </c>
      <c r="D2707" s="3">
        <v>45582.664293981477</v>
      </c>
      <c r="E2707" s="2" t="s">
        <v>571</v>
      </c>
    </row>
    <row r="2708" spans="1:5" ht="70" x14ac:dyDescent="0.2">
      <c r="A2708" s="2" t="s">
        <v>186</v>
      </c>
      <c r="B2708" s="2" t="str">
        <f>HYPERLINK("https://www.sgvtribune.com/2024/10/17/dietary-guidelines-become-mired-in-war-over-alcohol-safety/")</f>
        <v>https://www.sgvtribune.com/2024/10/17/dietary-guidelines-become-mired-in-war-over-alcohol-safety/</v>
      </c>
      <c r="C2708" s="2" t="s">
        <v>2080</v>
      </c>
      <c r="D2708" s="3">
        <v>45582.664293981477</v>
      </c>
      <c r="E2708" s="2" t="s">
        <v>571</v>
      </c>
    </row>
    <row r="2709" spans="1:5" ht="70" x14ac:dyDescent="0.2">
      <c r="A2709" s="2" t="s">
        <v>186</v>
      </c>
      <c r="B2709" s="2" t="str">
        <f>HYPERLINK("https://www.dailycamera.com/2024/10/17/dietary-guidelines-become-mired-in-war-over-alcohol-safety/")</f>
        <v>https://www.dailycamera.com/2024/10/17/dietary-guidelines-become-mired-in-war-over-alcohol-safety/</v>
      </c>
      <c r="C2709" s="2" t="s">
        <v>2415</v>
      </c>
      <c r="D2709" s="3">
        <v>45582.664293981477</v>
      </c>
      <c r="E2709" s="2" t="s">
        <v>571</v>
      </c>
    </row>
    <row r="2710" spans="1:5" ht="70" x14ac:dyDescent="0.2">
      <c r="A2710" s="2" t="s">
        <v>186</v>
      </c>
      <c r="B2710" s="2" t="str">
        <f>HYPERLINK("https://www.bostonherald.com/2024/10/17/dietary-guidelines-become-mired-in-war-over-alcohol-safety/")</f>
        <v>https://www.bostonherald.com/2024/10/17/dietary-guidelines-become-mired-in-war-over-alcohol-safety/</v>
      </c>
      <c r="C2710" s="2" t="s">
        <v>2963</v>
      </c>
      <c r="D2710" s="3">
        <v>45582.664340277777</v>
      </c>
      <c r="E2710" s="2" t="s">
        <v>571</v>
      </c>
    </row>
    <row r="2711" spans="1:5" ht="70" x14ac:dyDescent="0.2">
      <c r="A2711" s="2" t="s">
        <v>186</v>
      </c>
      <c r="B2711" s="2" t="str">
        <f>HYPERLINK("https://www.orovillemr.com/2024/10/17/dietary-guidelines-become-mired-in-war-over-alcohol-safety/")</f>
        <v>https://www.orovillemr.com/2024/10/17/dietary-guidelines-become-mired-in-war-over-alcohol-safety/</v>
      </c>
      <c r="C2711" s="2" t="s">
        <v>1109</v>
      </c>
      <c r="D2711" s="3">
        <v>45582.664351851847</v>
      </c>
      <c r="E2711" s="2" t="s">
        <v>571</v>
      </c>
    </row>
    <row r="2712" spans="1:5" ht="70" x14ac:dyDescent="0.2">
      <c r="A2712" s="2" t="s">
        <v>186</v>
      </c>
      <c r="B2712" s="2" t="str">
        <f>HYPERLINK("https://www.dailybreeze.com/2024/10/17/dietary-guidelines-become-mired-in-war-over-alcohol-safety/")</f>
        <v>https://www.dailybreeze.com/2024/10/17/dietary-guidelines-become-mired-in-war-over-alcohol-safety/</v>
      </c>
      <c r="C2712" s="2" t="s">
        <v>2474</v>
      </c>
      <c r="D2712" s="3">
        <v>45582.664467592593</v>
      </c>
      <c r="E2712" s="2" t="s">
        <v>571</v>
      </c>
    </row>
    <row r="2713" spans="1:5" ht="70" x14ac:dyDescent="0.2">
      <c r="A2713" s="2" t="s">
        <v>186</v>
      </c>
      <c r="B2713" s="2" t="str">
        <f>HYPERLINK("https://www.delcotimes.com/2024/10/17/dietary-guidelines-become-mired-in-war-over-alcohol-safety/")</f>
        <v>https://www.delcotimes.com/2024/10/17/dietary-guidelines-become-mired-in-war-over-alcohol-safety/</v>
      </c>
      <c r="C2713" s="2" t="s">
        <v>2280</v>
      </c>
      <c r="D2713" s="3">
        <v>45582.664525462962</v>
      </c>
      <c r="E2713" s="2" t="s">
        <v>571</v>
      </c>
    </row>
    <row r="2714" spans="1:5" ht="70" x14ac:dyDescent="0.2">
      <c r="A2714" s="2" t="s">
        <v>186</v>
      </c>
      <c r="B2714" s="2" t="str">
        <f>HYPERLINK("https://www.dailybulletin.com/2024/10/17/dietary-guidelines-become-mired-in-war-over-alcohol-safety/")</f>
        <v>https://www.dailybulletin.com/2024/10/17/dietary-guidelines-become-mired-in-war-over-alcohol-safety/</v>
      </c>
      <c r="C2714" s="2" t="s">
        <v>2014</v>
      </c>
      <c r="D2714" s="3">
        <v>45582.664571759262</v>
      </c>
      <c r="E2714" s="2" t="s">
        <v>571</v>
      </c>
    </row>
    <row r="2715" spans="1:5" ht="70" x14ac:dyDescent="0.2">
      <c r="A2715" s="2" t="s">
        <v>186</v>
      </c>
      <c r="B2715" s="2" t="str">
        <f>HYPERLINK("https://www.pilotonline.com/2024/10/17/dietary-guidelines-become-mired-in-war-over-alcohol-safety/")</f>
        <v>https://www.pilotonline.com/2024/10/17/dietary-guidelines-become-mired-in-war-over-alcohol-safety/</v>
      </c>
      <c r="C2715" s="2" t="s">
        <v>2744</v>
      </c>
      <c r="D2715" s="3">
        <v>45582.664583333331</v>
      </c>
      <c r="E2715" s="2" t="s">
        <v>571</v>
      </c>
    </row>
    <row r="2716" spans="1:5" ht="70" x14ac:dyDescent="0.2">
      <c r="A2716" s="2" t="s">
        <v>186</v>
      </c>
      <c r="B2716" s="2" t="str">
        <f>HYPERLINK("https://www.presstelegram.com/2024/10/17/dietary-guidelines-become-mired-in-war-over-alcohol-safety/")</f>
        <v>https://www.presstelegram.com/2024/10/17/dietary-guidelines-become-mired-in-war-over-alcohol-safety/</v>
      </c>
      <c r="C2716" s="2" t="s">
        <v>2281</v>
      </c>
      <c r="D2716" s="3">
        <v>45582.664629629631</v>
      </c>
      <c r="E2716" s="2" t="s">
        <v>571</v>
      </c>
    </row>
    <row r="2717" spans="1:5" ht="70" x14ac:dyDescent="0.2">
      <c r="A2717" s="2" t="s">
        <v>186</v>
      </c>
      <c r="B2717" s="2" t="str">
        <f>HYPERLINK("https://www.dailypress.com/2024/10/17/dietary-guidelines-become-mired-in-war-over-alcohol-safety/")</f>
        <v>https://www.dailypress.com/2024/10/17/dietary-guidelines-become-mired-in-war-over-alcohol-safety/</v>
      </c>
      <c r="C2717" s="2" t="s">
        <v>2417</v>
      </c>
      <c r="D2717" s="3">
        <v>45582.664918981478</v>
      </c>
      <c r="E2717" s="2" t="s">
        <v>571</v>
      </c>
    </row>
    <row r="2718" spans="1:5" ht="70" x14ac:dyDescent="0.2">
      <c r="A2718" s="2" t="s">
        <v>186</v>
      </c>
      <c r="B2718" s="2" t="str">
        <f>HYPERLINK("https://www.eptrail.com/2024/10/17/dietary-guidelines-become-mired-in-war-over-alcohol-safety/")</f>
        <v>https://www.eptrail.com/2024/10/17/dietary-guidelines-become-mired-in-war-over-alcohol-safety/</v>
      </c>
      <c r="C2718" s="2" t="s">
        <v>1568</v>
      </c>
      <c r="D2718" s="3">
        <v>45582.665034722217</v>
      </c>
      <c r="E2718" s="2" t="s">
        <v>571</v>
      </c>
    </row>
    <row r="2719" spans="1:5" ht="70" x14ac:dyDescent="0.2">
      <c r="A2719" s="2" t="s">
        <v>186</v>
      </c>
      <c r="B2719" s="2" t="str">
        <f>HYPERLINK("https://www.broomfieldenterprise.com/2024/10/17/dietary-guidelines-become-mired-in-war-over-alcohol-safety/")</f>
        <v>https://www.broomfieldenterprise.com/2024/10/17/dietary-guidelines-become-mired-in-war-over-alcohol-safety/</v>
      </c>
      <c r="C2719" s="2" t="s">
        <v>1173</v>
      </c>
      <c r="D2719" s="3">
        <v>45582.665150462963</v>
      </c>
      <c r="E2719" s="2" t="s">
        <v>571</v>
      </c>
    </row>
    <row r="2720" spans="1:5" ht="70" x14ac:dyDescent="0.2">
      <c r="A2720" s="2" t="s">
        <v>186</v>
      </c>
      <c r="B2720" s="2" t="str">
        <f>HYPERLINK("https://www.pottsmerc.com/2024/10/17/dietary-guidelines-become-mired-in-war-over-alcohol-safety/")</f>
        <v>https://www.pottsmerc.com/2024/10/17/dietary-guidelines-become-mired-in-war-over-alcohol-safety/</v>
      </c>
      <c r="C2720" s="2" t="s">
        <v>1925</v>
      </c>
      <c r="D2720" s="3">
        <v>45582.665277777778</v>
      </c>
      <c r="E2720" s="2" t="s">
        <v>571</v>
      </c>
    </row>
    <row r="2721" spans="1:5" ht="70" x14ac:dyDescent="0.2">
      <c r="A2721" s="2" t="s">
        <v>186</v>
      </c>
      <c r="B2721" s="2" t="str">
        <f>HYPERLINK("https://www.santacruzsentinel.com/2024/10/17/dietary-guidelines-become-mired-in-war-over-alcohol-safety/")</f>
        <v>https://www.santacruzsentinel.com/2024/10/17/dietary-guidelines-become-mired-in-war-over-alcohol-safety/</v>
      </c>
      <c r="C2721" s="2" t="s">
        <v>2194</v>
      </c>
      <c r="D2721" s="3">
        <v>45582.665486111109</v>
      </c>
      <c r="E2721" s="2" t="s">
        <v>571</v>
      </c>
    </row>
    <row r="2722" spans="1:5" ht="70" x14ac:dyDescent="0.2">
      <c r="A2722" s="2" t="s">
        <v>186</v>
      </c>
      <c r="B2722" s="2" t="str">
        <f>HYPERLINK("https://www.ukiahdailyjournal.com/2024/10/17/dietary-guidelines-become-mired-in-war-over-alcohol-safety/")</f>
        <v>https://www.ukiahdailyjournal.com/2024/10/17/dietary-guidelines-become-mired-in-war-over-alcohol-safety/</v>
      </c>
      <c r="C2722" s="2" t="s">
        <v>1379</v>
      </c>
      <c r="D2722" s="3">
        <v>45582.665625000001</v>
      </c>
      <c r="E2722" s="2" t="s">
        <v>571</v>
      </c>
    </row>
    <row r="2723" spans="1:5" ht="70" x14ac:dyDescent="0.2">
      <c r="A2723" s="2" t="s">
        <v>186</v>
      </c>
      <c r="B2723" s="2" t="str">
        <f>HYPERLINK("https://www.times-standard.com/2024/10/17/dietary-guidelines-become-mired-in-war-over-alcohol-safety/")</f>
        <v>https://www.times-standard.com/2024/10/17/dietary-guidelines-become-mired-in-war-over-alcohol-safety/</v>
      </c>
      <c r="C2723" s="2" t="s">
        <v>2092</v>
      </c>
      <c r="D2723" s="3">
        <v>45582.665763888886</v>
      </c>
      <c r="E2723" s="2" t="s">
        <v>571</v>
      </c>
    </row>
    <row r="2724" spans="1:5" ht="70" x14ac:dyDescent="0.2">
      <c r="A2724" s="2" t="s">
        <v>186</v>
      </c>
      <c r="B2724" s="2" t="str">
        <f>HYPERLINK("https://www.marinij.com/2024/10/17/dietary-guidelines-become-mired-in-war-over-alcohol-safety/")</f>
        <v>https://www.marinij.com/2024/10/17/dietary-guidelines-become-mired-in-war-over-alcohol-safety/</v>
      </c>
      <c r="C2724" s="2" t="s">
        <v>2399</v>
      </c>
      <c r="D2724" s="3">
        <v>45582.665844907409</v>
      </c>
      <c r="E2724" s="2" t="s">
        <v>571</v>
      </c>
    </row>
    <row r="2725" spans="1:5" ht="70" x14ac:dyDescent="0.2">
      <c r="A2725" s="2" t="s">
        <v>186</v>
      </c>
      <c r="B2725" s="2" t="str">
        <f>HYPERLINK("https://www.morningjournal.com/2024/10/17/dietary-guidelines-become-mired-in-war-over-alcohol-safety/")</f>
        <v>https://www.morningjournal.com/2024/10/17/dietary-guidelines-become-mired-in-war-over-alcohol-safety/</v>
      </c>
      <c r="C2725" s="2" t="s">
        <v>2083</v>
      </c>
      <c r="D2725" s="3">
        <v>45582.666018518517</v>
      </c>
      <c r="E2725" s="2" t="s">
        <v>571</v>
      </c>
    </row>
    <row r="2726" spans="1:5" ht="70" x14ac:dyDescent="0.2">
      <c r="A2726" s="2" t="s">
        <v>186</v>
      </c>
      <c r="B2726" s="2" t="str">
        <f>HYPERLINK("https://www.orlandosentinel.com/2024/10/17/dietary-guidelines-become-mired-in-war-over-alcohol-safety/")</f>
        <v>https://www.orlandosentinel.com/2024/10/17/dietary-guidelines-become-mired-in-war-over-alcohol-safety/</v>
      </c>
      <c r="C2726" s="2" t="s">
        <v>2970</v>
      </c>
      <c r="D2726" s="3">
        <v>45582.666400462957</v>
      </c>
      <c r="E2726" s="2" t="s">
        <v>187</v>
      </c>
    </row>
    <row r="2727" spans="1:5" ht="70" x14ac:dyDescent="0.2">
      <c r="A2727" s="2" t="s">
        <v>186</v>
      </c>
      <c r="B2727" s="2" t="str">
        <f>HYPERLINK("https://www.akronnewsreporter.com/2024/10/17/dietary-guidelines-become-mired-in-war-over-alcohol-safety/")</f>
        <v>https://www.akronnewsreporter.com/2024/10/17/dietary-guidelines-become-mired-in-war-over-alcohol-safety/</v>
      </c>
      <c r="C2727" s="2" t="s">
        <v>684</v>
      </c>
      <c r="D2727" s="3">
        <v>45582.666898148149</v>
      </c>
      <c r="E2727" s="2" t="s">
        <v>571</v>
      </c>
    </row>
    <row r="2728" spans="1:5" ht="70" x14ac:dyDescent="0.2">
      <c r="A2728" s="2" t="s">
        <v>186</v>
      </c>
      <c r="B2728" s="2" t="str">
        <f>HYPERLINK("https://www.mercurynews.com/2024/10/17/dietary-guidelines-become-mired-in-war-over-alcohol-safety/")</f>
        <v>https://www.mercurynews.com/2024/10/17/dietary-guidelines-become-mired-in-war-over-alcohol-safety/</v>
      </c>
      <c r="C2728" s="2" t="s">
        <v>3341</v>
      </c>
      <c r="D2728" s="3">
        <v>45582.666979166657</v>
      </c>
      <c r="E2728" s="2" t="s">
        <v>571</v>
      </c>
    </row>
    <row r="2729" spans="1:5" ht="70" x14ac:dyDescent="0.2">
      <c r="A2729" s="2" t="s">
        <v>186</v>
      </c>
      <c r="B2729" s="2" t="str">
        <f>HYPERLINK("https://www.thenewsherald.com/2024/10/17/dietary-guidelines-become-mired-in-war-over-alcohol-safety/")</f>
        <v>https://www.thenewsherald.com/2024/10/17/dietary-guidelines-become-mired-in-war-over-alcohol-safety/</v>
      </c>
      <c r="C2729" s="2" t="s">
        <v>2023</v>
      </c>
      <c r="D2729" s="3">
        <v>45582.667361111111</v>
      </c>
      <c r="E2729" s="2" t="s">
        <v>571</v>
      </c>
    </row>
    <row r="2730" spans="1:5" ht="70" x14ac:dyDescent="0.2">
      <c r="A2730" s="2" t="s">
        <v>186</v>
      </c>
      <c r="B2730" s="2" t="str">
        <f>HYPERLINK("https://www.journal-advocate.com/2024/10/17/dietary-guidelines-become-mired-in-war-over-alcohol-safety/")</f>
        <v>https://www.journal-advocate.com/2024/10/17/dietary-guidelines-become-mired-in-war-over-alcohol-safety/</v>
      </c>
      <c r="C2730" s="2" t="s">
        <v>1413</v>
      </c>
      <c r="D2730" s="3">
        <v>45582.667893518519</v>
      </c>
      <c r="E2730" s="2" t="s">
        <v>571</v>
      </c>
    </row>
    <row r="2731" spans="1:5" ht="70" x14ac:dyDescent="0.2">
      <c r="A2731" s="2" t="s">
        <v>186</v>
      </c>
      <c r="B2731" s="2" t="str">
        <f>HYPERLINK("https://www.readingeagle.com/2024/10/17/dietary-guidelines-become-mired-in-war-over-alcohol-safety/")</f>
        <v>https://www.readingeagle.com/2024/10/17/dietary-guidelines-become-mired-in-war-over-alcohol-safety/</v>
      </c>
      <c r="C2731" s="2" t="s">
        <v>2305</v>
      </c>
      <c r="D2731" s="3">
        <v>45582.670648148152</v>
      </c>
      <c r="E2731" s="2" t="s">
        <v>571</v>
      </c>
    </row>
    <row r="2732" spans="1:5" ht="70" x14ac:dyDescent="0.2">
      <c r="A2732" s="2" t="s">
        <v>186</v>
      </c>
      <c r="B2732" s="2" t="str">
        <f>HYPERLINK("https://www.saratogian.com/2024/10/17/dietary-guidelines-become-mired-in-war-over-alcohol-safety/")</f>
        <v>https://www.saratogian.com/2024/10/17/dietary-guidelines-become-mired-in-war-over-alcohol-safety/</v>
      </c>
      <c r="C2732" s="2" t="s">
        <v>1539</v>
      </c>
      <c r="D2732" s="3">
        <v>45582.670659722222</v>
      </c>
      <c r="E2732" s="2" t="s">
        <v>571</v>
      </c>
    </row>
    <row r="2733" spans="1:5" ht="70" x14ac:dyDescent="0.2">
      <c r="A2733" s="2" t="s">
        <v>186</v>
      </c>
      <c r="B2733" s="2" t="str">
        <f>HYPERLINK("https://www.dailynews.com/2024/10/17/dietary-guidelines-become-mired-in-war-over-alcohol-safety/")</f>
        <v>https://www.dailynews.com/2024/10/17/dietary-guidelines-become-mired-in-war-over-alcohol-safety/</v>
      </c>
      <c r="C2733" s="2" t="s">
        <v>2780</v>
      </c>
      <c r="D2733" s="3">
        <v>45582.671111111107</v>
      </c>
      <c r="E2733" s="2" t="s">
        <v>571</v>
      </c>
    </row>
    <row r="2734" spans="1:5" ht="70" x14ac:dyDescent="0.2">
      <c r="A2734" s="2" t="s">
        <v>186</v>
      </c>
      <c r="B2734" s="2" t="str">
        <f>HYPERLINK("https://www.eastbaytimes.com/2024/10/17/dietary-guidelines-become-mired-in-war-over-alcohol-safety/")</f>
        <v>https://www.eastbaytimes.com/2024/10/17/dietary-guidelines-become-mired-in-war-over-alcohol-safety/</v>
      </c>
      <c r="C2734" s="2" t="s">
        <v>2612</v>
      </c>
      <c r="D2734" s="3">
        <v>45582.671203703707</v>
      </c>
      <c r="E2734" s="2" t="s">
        <v>187</v>
      </c>
    </row>
    <row r="2735" spans="1:5" ht="70" x14ac:dyDescent="0.2">
      <c r="A2735" s="2" t="s">
        <v>186</v>
      </c>
      <c r="B2735" s="2" t="str">
        <f>HYPERLINK("https://www.canoncitydailyrecord.com/2024/10/17/dietary-guidelines-become-mired-in-war-over-alcohol-safety/")</f>
        <v>https://www.canoncitydailyrecord.com/2024/10/17/dietary-guidelines-become-mired-in-war-over-alcohol-safety/</v>
      </c>
      <c r="C2735" s="2" t="s">
        <v>1649</v>
      </c>
      <c r="D2735" s="3">
        <v>45582.671643518523</v>
      </c>
      <c r="E2735" s="2" t="s">
        <v>571</v>
      </c>
    </row>
    <row r="2736" spans="1:5" ht="70" x14ac:dyDescent="0.2">
      <c r="A2736" s="2" t="s">
        <v>186</v>
      </c>
      <c r="B2736" s="2" t="str">
        <f>HYPERLINK("https://usajaunnews.com/2024/10/17/dietary-guidelines-become-mired-in-war-over-alcohol-safety-hartford-courant/")</f>
        <v>https://usajaunnews.com/2024/10/17/dietary-guidelines-become-mired-in-war-over-alcohol-safety-hartford-courant/</v>
      </c>
      <c r="C2736" s="2" t="s">
        <v>60</v>
      </c>
      <c r="D2736" s="3">
        <v>45582.672002314823</v>
      </c>
      <c r="E2736" s="2" t="s">
        <v>187</v>
      </c>
    </row>
    <row r="2737" spans="1:5" ht="70" x14ac:dyDescent="0.2">
      <c r="A2737" s="2" t="s">
        <v>186</v>
      </c>
      <c r="B2737" s="2" t="str">
        <f>HYPERLINK("https://www.voicenews.com/2024/10/17/dietary-guidelines-become-mired-in-war-over-alcohol-safety/")</f>
        <v>https://www.voicenews.com/2024/10/17/dietary-guidelines-become-mired-in-war-over-alcohol-safety/</v>
      </c>
      <c r="C2737" s="2" t="s">
        <v>1292</v>
      </c>
      <c r="D2737" s="3">
        <v>45582.672280092593</v>
      </c>
      <c r="E2737" s="2" t="s">
        <v>571</v>
      </c>
    </row>
    <row r="2738" spans="1:5" ht="70" x14ac:dyDescent="0.2">
      <c r="A2738" s="2" t="s">
        <v>186</v>
      </c>
      <c r="B2738" s="2" t="str">
        <f>HYPERLINK("https://www.julesburgadvocate.com/2024/10/17/dietary-guidelines-become-mired-in-war-over-alcohol-safety/")</f>
        <v>https://www.julesburgadvocate.com/2024/10/17/dietary-guidelines-become-mired-in-war-over-alcohol-safety/</v>
      </c>
      <c r="C2738" s="2" t="s">
        <v>879</v>
      </c>
      <c r="D2738" s="3">
        <v>45582.674062500002</v>
      </c>
      <c r="E2738" s="2" t="s">
        <v>571</v>
      </c>
    </row>
    <row r="2739" spans="1:5" ht="70" x14ac:dyDescent="0.2">
      <c r="A2739" s="2" t="s">
        <v>186</v>
      </c>
      <c r="B2739" s="2" t="str">
        <f>HYPERLINK("https://www.sun-sentinel.com/2024/10/17/dietary-guidelines-become-mired-in-war-over-alcohol-safety/")</f>
        <v>https://www.sun-sentinel.com/2024/10/17/dietary-guidelines-become-mired-in-war-over-alcohol-safety/</v>
      </c>
      <c r="C2739" s="2" t="s">
        <v>3043</v>
      </c>
      <c r="D2739" s="3">
        <v>45582.675416666672</v>
      </c>
      <c r="E2739" s="2" t="s">
        <v>571</v>
      </c>
    </row>
    <row r="2740" spans="1:5" ht="70" x14ac:dyDescent="0.2">
      <c r="A2740" s="2" t="s">
        <v>186</v>
      </c>
      <c r="B2740" s="2" t="str">
        <f>HYPERLINK("https://www.dailylocal.com/2024/10/17/dietary-guidelines-become-mired-in-war-over-alcohol-safety/")</f>
        <v>https://www.dailylocal.com/2024/10/17/dietary-guidelines-become-mired-in-war-over-alcohol-safety/</v>
      </c>
      <c r="C2740" s="2" t="s">
        <v>1853</v>
      </c>
      <c r="D2740" s="3">
        <v>45582.675428240742</v>
      </c>
      <c r="E2740" s="2" t="s">
        <v>571</v>
      </c>
    </row>
    <row r="2741" spans="1:5" ht="70" x14ac:dyDescent="0.2">
      <c r="A2741" s="2" t="s">
        <v>186</v>
      </c>
      <c r="B2741" s="2" t="str">
        <f>HYPERLINK("https://www.capitalgazette.com/2024/10/17/dietary-guidelines-become-mired-in-war-over-alcohol-safety/")</f>
        <v>https://www.capitalgazette.com/2024/10/17/dietary-guidelines-become-mired-in-war-over-alcohol-safety/</v>
      </c>
      <c r="C2741" s="2" t="s">
        <v>2321</v>
      </c>
      <c r="D2741" s="3">
        <v>45582.677118055559</v>
      </c>
      <c r="E2741" s="2" t="s">
        <v>571</v>
      </c>
    </row>
    <row r="2742" spans="1:5" ht="70" x14ac:dyDescent="0.2">
      <c r="A2742" s="2" t="s">
        <v>186</v>
      </c>
      <c r="B2742" s="2" t="str">
        <f>HYPERLINK("https://usa-today-news.com/news/dietary-guidelines-become-mired-in-war-over-alcohol-safety-3/")</f>
        <v>https://usa-today-news.com/news/dietary-guidelines-become-mired-in-war-over-alcohol-safety-3/</v>
      </c>
      <c r="C2742" s="2" t="s">
        <v>570</v>
      </c>
      <c r="D2742" s="3">
        <v>45582.681921296287</v>
      </c>
      <c r="E2742" s="2" t="s">
        <v>571</v>
      </c>
    </row>
    <row r="2743" spans="1:5" ht="70" x14ac:dyDescent="0.2">
      <c r="A2743" s="2" t="s">
        <v>186</v>
      </c>
      <c r="B2743" s="2" t="str">
        <f>HYPERLINK("https://todayschronic.com/dietary-guidelines-become-mired-in-war-over-alcohol-safety-the-mercury-news/")</f>
        <v>https://todayschronic.com/dietary-guidelines-become-mired-in-war-over-alcohol-safety-the-mercury-news/</v>
      </c>
      <c r="C2743" s="2" t="s">
        <v>524</v>
      </c>
      <c r="D2743" s="3">
        <v>45582.831250000003</v>
      </c>
      <c r="E2743" s="2" t="s">
        <v>187</v>
      </c>
    </row>
    <row r="2744" spans="1:5" ht="70" x14ac:dyDescent="0.2">
      <c r="A2744" s="2" t="s">
        <v>3932</v>
      </c>
      <c r="B2744" s="2" t="str">
        <f>HYPERLINK("https://neefina.com/dietary-guidelines-become-mired-in-war-over-alcohol-safety-the-mercury-news/")</f>
        <v>https://neefina.com/dietary-guidelines-become-mired-in-war-over-alcohol-safety-the-mercury-news/</v>
      </c>
      <c r="C2744" s="2" t="s">
        <v>3933</v>
      </c>
      <c r="D2744" s="3">
        <v>45583.020162037043</v>
      </c>
      <c r="E2744" s="2" t="s">
        <v>571</v>
      </c>
    </row>
    <row r="2745" spans="1:5" ht="42" x14ac:dyDescent="0.2">
      <c r="A2745" s="2" t="s">
        <v>3716</v>
      </c>
      <c r="B2745" s="2" t="str">
        <f>HYPERLINK("https://www.nytimes.com/2024/10/18/business/health-halo-food-marketing-labels.html")</f>
        <v>https://www.nytimes.com/2024/10/18/business/health-halo-food-marketing-labels.html</v>
      </c>
      <c r="C2745" s="2" t="s">
        <v>3717</v>
      </c>
      <c r="D2745" s="3">
        <v>45583.212025462963</v>
      </c>
      <c r="E2745" s="2" t="s">
        <v>3718</v>
      </c>
    </row>
    <row r="2746" spans="1:5" ht="42" x14ac:dyDescent="0.2">
      <c r="A2746" s="2" t="s">
        <v>1455</v>
      </c>
      <c r="B2746" s="2" t="str">
        <f>HYPERLINK("https://dnyuz.com/2024/10/18/at-the-grocery-store-blinded-by-the-light-of-the-health-halo/")</f>
        <v>https://dnyuz.com/2024/10/18/at-the-grocery-store-blinded-by-the-light-of-the-health-halo/</v>
      </c>
      <c r="C2746" s="2" t="s">
        <v>2847</v>
      </c>
      <c r="D2746" s="3">
        <v>45583.24827546296</v>
      </c>
      <c r="E2746" s="2" t="s">
        <v>1457</v>
      </c>
    </row>
    <row r="2747" spans="1:5" ht="84" x14ac:dyDescent="0.2">
      <c r="A2747" s="2" t="s">
        <v>2739</v>
      </c>
      <c r="B2747" s="2" t="str">
        <f>HYPERLINK("https://www.washingtonpost.com/health/2024/10/18/trump-rfk-maha-health/")</f>
        <v>https://www.washingtonpost.com/health/2024/10/18/trump-rfk-maha-health/</v>
      </c>
      <c r="C2747" s="2" t="s">
        <v>3634</v>
      </c>
      <c r="D2747" s="3">
        <v>45583.265914351847</v>
      </c>
      <c r="E2747" s="2" t="s">
        <v>2740</v>
      </c>
    </row>
    <row r="2748" spans="1:5" ht="84" x14ac:dyDescent="0.2">
      <c r="A2748" s="2" t="s">
        <v>2739</v>
      </c>
      <c r="B2748" s="2" t="str">
        <f>HYPERLINK("https://malaysia.news.yahoo.com/trump-rfk-vow-america-healthy-142823437.html")</f>
        <v>https://malaysia.news.yahoo.com/trump-rfk-vow-america-healthy-142823437.html</v>
      </c>
      <c r="C2748" s="2" t="s">
        <v>2674</v>
      </c>
      <c r="D2748" s="3">
        <v>45583.436377314807</v>
      </c>
      <c r="E2748" s="2" t="s">
        <v>2740</v>
      </c>
    </row>
    <row r="2749" spans="1:5" ht="42" x14ac:dyDescent="0.2">
      <c r="A2749" s="2" t="s">
        <v>2025</v>
      </c>
      <c r="B2749" s="2" t="str">
        <f>HYPERLINK("https://www.vinetur.com/2024101882419/alcohol-study-sparks-political-firestorm.html")</f>
        <v>https://www.vinetur.com/2024101882419/alcohol-study-sparks-political-firestorm.html</v>
      </c>
      <c r="C2749" s="2" t="s">
        <v>2026</v>
      </c>
      <c r="D2749" s="3">
        <v>45583.523009259261</v>
      </c>
      <c r="E2749" s="2" t="s">
        <v>2027</v>
      </c>
    </row>
    <row r="2750" spans="1:5" ht="56" x14ac:dyDescent="0.2">
      <c r="A2750" s="2" t="s">
        <v>3704</v>
      </c>
      <c r="B2750" s="2" t="str">
        <f>HYPERLINK("https://www.forbes.com/sites/maryroeloffs/2024/10/18/who-is-daniel-lubetzky-snack-food-billionaire-will-replace-mark-cuban-on-shark-tank/")</f>
        <v>https://www.forbes.com/sites/maryroeloffs/2024/10/18/who-is-daniel-lubetzky-snack-food-billionaire-will-replace-mark-cuban-on-shark-tank/</v>
      </c>
      <c r="C2750" s="2" t="s">
        <v>3695</v>
      </c>
      <c r="D2750" s="3">
        <v>45583.627615740741</v>
      </c>
      <c r="E2750" s="2" t="s">
        <v>3697</v>
      </c>
    </row>
    <row r="2751" spans="1:5" ht="70" x14ac:dyDescent="0.2">
      <c r="A2751" s="2" t="s">
        <v>1725</v>
      </c>
      <c r="B2751" s="2" t="str">
        <f>HYPERLINK("https://en.paperblog.com/rolling-back-the-diet-in-project-2025-would-limit-the-fight-against-ultra-processed-foods-us-elections-2024-7884397/")</f>
        <v>https://en.paperblog.com/rolling-back-the-diet-in-project-2025-would-limit-the-fight-against-ultra-processed-foods-us-elections-2024-7884397/</v>
      </c>
      <c r="C2751" s="2" t="s">
        <v>1726</v>
      </c>
      <c r="D2751" s="3">
        <v>45584.136157407411</v>
      </c>
      <c r="E2751" s="2" t="s">
        <v>1727</v>
      </c>
    </row>
    <row r="2752" spans="1:5" ht="70" x14ac:dyDescent="0.2">
      <c r="A2752" s="2" t="s">
        <v>186</v>
      </c>
      <c r="B2752" s="2" t="str">
        <f>HYPERLINK("https://www.columbian.com/news/2024/oct/19/u-s-dietary-guidelines-alcohol-safety-a-volatile-mix/")</f>
        <v>https://www.columbian.com/news/2024/oct/19/u-s-dietary-guidelines-alcohol-safety-a-volatile-mix/</v>
      </c>
      <c r="C2752" s="2" t="s">
        <v>2659</v>
      </c>
      <c r="D2752" s="3">
        <v>45584.37358796296</v>
      </c>
      <c r="E2752" s="2" t="s">
        <v>571</v>
      </c>
    </row>
    <row r="2753" spans="1:5" ht="84" x14ac:dyDescent="0.2">
      <c r="A2753" s="2" t="s">
        <v>1221</v>
      </c>
      <c r="B2753" s="2" t="str">
        <f>HYPERLINK("https://techrights.org/n/2024/10/19/Links_19_10_2024_OpenAI_Microsoft_Going_Deeper_Into_Debt_FTC_Ru.shtml")</f>
        <v>https://techrights.org/n/2024/10/19/Links_19_10_2024_OpenAI_Microsoft_Going_Deeper_Into_Debt_FTC_Ru.shtml</v>
      </c>
      <c r="C2753" s="2" t="s">
        <v>1222</v>
      </c>
      <c r="D2753" s="3">
        <v>45584.394699074073</v>
      </c>
      <c r="E2753" s="2" t="s">
        <v>1223</v>
      </c>
    </row>
    <row r="2754" spans="1:5" ht="84" x14ac:dyDescent="0.2">
      <c r="A2754" s="2" t="s">
        <v>2739</v>
      </c>
      <c r="B2754" s="2" t="str">
        <f>HYPERLINK("https://www.dailyherald.com/20241020/nation-and-world-politics/trump-rfk-vow-to-make-america-healthy-again-raising-hopes-and-doubts/")</f>
        <v>https://www.dailyherald.com/20241020/nation-and-world-politics/trump-rfk-vow-to-make-america-healthy-again-raising-hopes-and-doubts/</v>
      </c>
      <c r="C2754" s="2" t="s">
        <v>2811</v>
      </c>
      <c r="D2754" s="3">
        <v>45585.291666666657</v>
      </c>
      <c r="E2754" s="2" t="s">
        <v>2740</v>
      </c>
    </row>
    <row r="2755" spans="1:5" ht="84" x14ac:dyDescent="0.2">
      <c r="A2755" s="2" t="s">
        <v>990</v>
      </c>
      <c r="B2755" s="2" t="str">
        <f>HYPERLINK("https://www.alfa-editores.com.mx/alimento-que-podria-reducir-el-riesgo-de-diabetes-tipo-2-segun-la-fda/")</f>
        <v>https://www.alfa-editores.com.mx/alimento-que-podria-reducir-el-riesgo-de-diabetes-tipo-2-segun-la-fda/</v>
      </c>
      <c r="C2755" s="2" t="s">
        <v>991</v>
      </c>
      <c r="D2755" s="3">
        <v>45586.20516203704</v>
      </c>
      <c r="E2755" s="2" t="s">
        <v>992</v>
      </c>
    </row>
    <row r="2756" spans="1:5" ht="70" x14ac:dyDescent="0.2">
      <c r="A2756" s="2" t="s">
        <v>885</v>
      </c>
      <c r="B2756" s="2" t="str">
        <f>HYPERLINK("https://naturespharmacy.substack.com/p/a-call-to-farms-with-jennifer-grayson")</f>
        <v>https://naturespharmacy.substack.com/p/a-call-to-farms-with-jennifer-grayson</v>
      </c>
      <c r="C2756" s="2" t="s">
        <v>886</v>
      </c>
      <c r="D2756" s="3">
        <v>45586.349363425928</v>
      </c>
      <c r="E2756" s="2" t="s">
        <v>887</v>
      </c>
    </row>
    <row r="2757" spans="1:5" ht="84" x14ac:dyDescent="0.2">
      <c r="A2757" s="2" t="s">
        <v>2188</v>
      </c>
      <c r="B2757" s="2" t="str">
        <f>HYPERLINK("https://l8r.it/xX1B")</f>
        <v>https://l8r.it/xX1B</v>
      </c>
      <c r="C2757" s="2" t="s">
        <v>4025</v>
      </c>
      <c r="D2757" s="3">
        <v>45586.458333333343</v>
      </c>
      <c r="E2757" s="2" t="s">
        <v>2190</v>
      </c>
    </row>
    <row r="2758" spans="1:5" ht="84" x14ac:dyDescent="0.2">
      <c r="A2758" s="2" t="s">
        <v>2188</v>
      </c>
      <c r="B2758" s="2" t="str">
        <f>HYPERLINK("https://www.printmag.com/creative-voices/poor-mans-feast-so-what/")</f>
        <v>https://www.printmag.com/creative-voices/poor-mans-feast-so-what/</v>
      </c>
      <c r="C2758" s="2" t="s">
        <v>2189</v>
      </c>
      <c r="D2758" s="3">
        <v>45586.473067129627</v>
      </c>
      <c r="E2758" s="2" t="s">
        <v>2190</v>
      </c>
    </row>
    <row r="2759" spans="1:5" ht="56" x14ac:dyDescent="0.2">
      <c r="A2759" s="2" t="s">
        <v>3117</v>
      </c>
      <c r="B2759" s="2" t="str">
        <f>HYPERLINK("https://es-us.finanzas.yahoo.com/noticias/tentempi%C3%A9s-envueltos-halo-salud-162108873.html")</f>
        <v>https://es-us.finanzas.yahoo.com/noticias/tentempi%C3%A9s-envueltos-halo-salud-162108873.html</v>
      </c>
      <c r="C2759" s="2" t="s">
        <v>3118</v>
      </c>
      <c r="D2759" s="3">
        <v>45586.514675925922</v>
      </c>
      <c r="E2759" s="2" t="s">
        <v>3119</v>
      </c>
    </row>
    <row r="2760" spans="1:5" ht="84" x14ac:dyDescent="0.2">
      <c r="A2760" s="2" t="s">
        <v>3465</v>
      </c>
      <c r="B2760" s="2" t="str">
        <f>HYPERLINK("https://www.theatlantic.com/health/archive/2024/10/ultra-processed-food-sliced-bread/680323/")</f>
        <v>https://www.theatlantic.com/health/archive/2024/10/ultra-processed-food-sliced-bread/680323/</v>
      </c>
      <c r="C2760" s="2" t="s">
        <v>3463</v>
      </c>
      <c r="D2760" s="3">
        <v>45586.69976851852</v>
      </c>
      <c r="E2760" s="2" t="s">
        <v>3466</v>
      </c>
    </row>
    <row r="2761" spans="1:5" ht="42" x14ac:dyDescent="0.2">
      <c r="A2761" s="2" t="s">
        <v>1455</v>
      </c>
      <c r="B2761" s="2" t="str">
        <f>HYPERLINK("https://portside.org/2024-10-21/grocery-store-blinded-light-health-halo")</f>
        <v>https://portside.org/2024-10-21/grocery-store-blinded-light-health-halo</v>
      </c>
      <c r="C2761" s="2" t="s">
        <v>1456</v>
      </c>
      <c r="D2761" s="3">
        <v>45586.834085648137</v>
      </c>
      <c r="E2761" s="2" t="s">
        <v>1457</v>
      </c>
    </row>
    <row r="2762" spans="1:5" ht="210" x14ac:dyDescent="0.2">
      <c r="A2762" s="2" t="s">
        <v>3166</v>
      </c>
      <c r="B2762" s="2" t="str">
        <f>HYPERLINK("https://www.epochtimes.com/b5/24/10/21/n14355017.htm")</f>
        <v>https://www.epochtimes.com/b5/24/10/21/n14355017.htm</v>
      </c>
      <c r="C2762" s="2" t="s">
        <v>3139</v>
      </c>
      <c r="D2762" s="3">
        <v>45587.667245370372</v>
      </c>
      <c r="E2762" s="2" t="s">
        <v>3172</v>
      </c>
    </row>
    <row r="2763" spans="1:5" ht="210" x14ac:dyDescent="0.2">
      <c r="A2763" s="2" t="s">
        <v>3168</v>
      </c>
      <c r="B2763" s="2" t="str">
        <f>HYPERLINK("https://www.epochtimes.com/gb/24/10/21/n14355017.htm")</f>
        <v>https://www.epochtimes.com/gb/24/10/21/n14355017.htm</v>
      </c>
      <c r="C2763" s="2" t="s">
        <v>3142</v>
      </c>
      <c r="D2763" s="3">
        <v>45587.679699074077</v>
      </c>
      <c r="E2763" s="2" t="s">
        <v>3169</v>
      </c>
    </row>
    <row r="2764" spans="1:5" ht="42" x14ac:dyDescent="0.2">
      <c r="A2764" s="2" t="s">
        <v>2488</v>
      </c>
      <c r="B2764" s="2" t="str">
        <f>HYPERLINK("https://brandequity.economictimes.indiatimes.com/news/marketing/snacks-wrapped-in-the-health-halo/114473289")</f>
        <v>https://brandequity.economictimes.indiatimes.com/news/marketing/snacks-wrapped-in-the-health-halo/114473289</v>
      </c>
      <c r="C2764" s="2" t="s">
        <v>2486</v>
      </c>
      <c r="D2764" s="3">
        <v>45587.893449074072</v>
      </c>
      <c r="E2764" s="2" t="s">
        <v>1457</v>
      </c>
    </row>
    <row r="2765" spans="1:5" ht="56" x14ac:dyDescent="0.2">
      <c r="A2765" s="2" t="s">
        <v>3713</v>
      </c>
      <c r="B2765" s="2" t="str">
        <f>HYPERLINK("https://www.nytimes.com/es/2024/10/23/espanol/efecto-halo-salud-marketing.html")</f>
        <v>https://www.nytimes.com/es/2024/10/23/espanol/efecto-halo-salud-marketing.html</v>
      </c>
      <c r="C2765" s="2" t="s">
        <v>3714</v>
      </c>
      <c r="D2765" s="3">
        <v>45588.283842592587</v>
      </c>
      <c r="E2765" s="2" t="s">
        <v>3715</v>
      </c>
    </row>
    <row r="2766" spans="1:5" ht="56" x14ac:dyDescent="0.2">
      <c r="A2766" s="2" t="s">
        <v>695</v>
      </c>
      <c r="B2766" s="2" t="str">
        <f>HYPERLINK("https://calidadtenerife.org/?q=node/56675")</f>
        <v>https://calidadtenerife.org/?q=node/56675</v>
      </c>
      <c r="C2766" s="2" t="s">
        <v>696</v>
      </c>
      <c r="D2766" s="3">
        <v>45589</v>
      </c>
      <c r="E2766" s="2" t="s">
        <v>316</v>
      </c>
    </row>
    <row r="2767" spans="1:5" ht="56" x14ac:dyDescent="0.2">
      <c r="A2767" s="2" t="s">
        <v>2550</v>
      </c>
      <c r="B2767" s="2" t="str">
        <f>HYPERLINK("https://deal.town/food-tank-the-food-think-tank/imagine-if-we-elected-policymakers-who-are-citizen-eaters-just-like-us-FKUPG2HC3CP")</f>
        <v>https://deal.town/food-tank-the-food-think-tank/imagine-if-we-elected-policymakers-who-are-citizen-eaters-just-like-us-FKUPG2HC3CP</v>
      </c>
      <c r="C2767" s="2" t="s">
        <v>2546</v>
      </c>
      <c r="D2767" s="3">
        <v>45589</v>
      </c>
      <c r="E2767" s="2" t="s">
        <v>2551</v>
      </c>
    </row>
    <row r="2768" spans="1:5" ht="84" x14ac:dyDescent="0.2">
      <c r="A2768" s="2" t="s">
        <v>3700</v>
      </c>
      <c r="B2768" s="2" t="str">
        <f>HYPERLINK("https://www.forbes.com/sites/errolschweizer/2024/10/24/how-to-make-america-healthy-again/")</f>
        <v>https://www.forbes.com/sites/errolschweizer/2024/10/24/how-to-make-america-healthy-again/</v>
      </c>
      <c r="C2768" s="2" t="s">
        <v>3695</v>
      </c>
      <c r="D2768" s="3">
        <v>45589.260127314818</v>
      </c>
      <c r="E2768" s="2" t="s">
        <v>3701</v>
      </c>
    </row>
    <row r="2769" spans="1:5" ht="56" x14ac:dyDescent="0.2">
      <c r="A2769" s="2" t="s">
        <v>3698</v>
      </c>
      <c r="B2769" s="2" t="str">
        <f>HYPERLINK("https://www.forbes.com/sites/garystern/2024/10/24/crumbl-on-a-roll-and-growing-at-a-rapid-pace/")</f>
        <v>https://www.forbes.com/sites/garystern/2024/10/24/crumbl-on-a-roll-and-growing-at-a-rapid-pace/</v>
      </c>
      <c r="C2769" s="2" t="s">
        <v>3695</v>
      </c>
      <c r="D2769" s="3">
        <v>45589.373761574083</v>
      </c>
      <c r="E2769" s="2" t="s">
        <v>3699</v>
      </c>
    </row>
    <row r="2770" spans="1:5" ht="56" x14ac:dyDescent="0.2">
      <c r="A2770" s="2" t="s">
        <v>315</v>
      </c>
      <c r="B2770" s="2" t="str">
        <f>HYPERLINK("http://fmalpina.com.ar/articulo/que-es-el-%E2%80%9Chalo-de-salud%E2%80%9D-y-por-que-te-puede-cegar-al-hacer-las-compras.php")</f>
        <v>http://fmalpina.com.ar/articulo/que-es-el-%E2%80%9Chalo-de-salud%E2%80%9D-y-por-que-te-puede-cegar-al-hacer-las-compras.php</v>
      </c>
      <c r="C2770" s="2" t="s">
        <v>313</v>
      </c>
      <c r="D2770" s="3">
        <v>45590</v>
      </c>
      <c r="E2770" s="2" t="s">
        <v>316</v>
      </c>
    </row>
    <row r="2771" spans="1:5" ht="56" x14ac:dyDescent="0.2">
      <c r="A2771" s="2" t="s">
        <v>315</v>
      </c>
      <c r="B2771" s="2" t="str">
        <f>HYPERLINK("http://kamonline.com.ar/articulo/que-es-el-%E2%80%9Chalo-de-salud%E2%80%9D-y-por-que-te-puede-cegar-al-hacer-las-compras.php")</f>
        <v>http://kamonline.com.ar/articulo/que-es-el-%E2%80%9Chalo-de-salud%E2%80%9D-y-por-que-te-puede-cegar-al-hacer-las-compras.php</v>
      </c>
      <c r="C2771" s="2" t="s">
        <v>4106</v>
      </c>
      <c r="D2771" s="3">
        <v>45590</v>
      </c>
      <c r="E2771" s="2" t="s">
        <v>316</v>
      </c>
    </row>
    <row r="2772" spans="1:5" ht="56" x14ac:dyDescent="0.2">
      <c r="A2772" s="2" t="s">
        <v>315</v>
      </c>
      <c r="B2772" s="2" t="str">
        <f>HYPERLINK("https://es-us.noticias.yahoo.com/halo-salud-te-cegar-compras-140507310.html")</f>
        <v>https://es-us.noticias.yahoo.com/halo-salud-te-cegar-compras-140507310.html</v>
      </c>
      <c r="C2772" s="2" t="s">
        <v>3197</v>
      </c>
      <c r="D2772" s="3">
        <v>45590.420219907413</v>
      </c>
      <c r="E2772" s="2" t="s">
        <v>316</v>
      </c>
    </row>
    <row r="2773" spans="1:5" ht="56" x14ac:dyDescent="0.2">
      <c r="A2773" s="2" t="s">
        <v>315</v>
      </c>
      <c r="B2773" s="2" t="str">
        <f>HYPERLINK("https://www.lanacion.com.ar/sociedad/que-es-el-halo-de-salud-y-por-que-te-puede-cegar-al-hacer-las-compras-nid25102024/")</f>
        <v>https://www.lanacion.com.ar/sociedad/que-es-el-halo-de-salud-y-por-que-te-puede-cegar-al-hacer-las-compras-nid25102024/</v>
      </c>
      <c r="C2773" s="2" t="s">
        <v>3623</v>
      </c>
      <c r="D2773" s="3">
        <v>45590.426041666673</v>
      </c>
      <c r="E2773" s="2" t="s">
        <v>316</v>
      </c>
    </row>
    <row r="2774" spans="1:5" ht="56" x14ac:dyDescent="0.2">
      <c r="A2774" s="2" t="s">
        <v>315</v>
      </c>
      <c r="B2774" s="2" t="str">
        <f>HYPERLINK("https://www.hechoencalifornia1010.com/que-es-el-halo-de-salud-y-por-que-te-puede-cegar-al-hacer-las-compras/")</f>
        <v>https://www.hechoencalifornia1010.com/que-es-el-halo-de-salud-y-por-que-te-puede-cegar-al-hacer-las-compras/</v>
      </c>
      <c r="C2774" s="2" t="s">
        <v>658</v>
      </c>
      <c r="D2774" s="3">
        <v>45590.58798611111</v>
      </c>
      <c r="E2774" s="2" t="s">
        <v>316</v>
      </c>
    </row>
    <row r="2775" spans="1:5" ht="70" x14ac:dyDescent="0.2">
      <c r="A2775" s="2" t="s">
        <v>329</v>
      </c>
      <c r="B2775" s="2" t="str">
        <f>HYPERLINK("https://mckinneynewssource.com/5-questions-about-the-next-u-s-dietary-guidelines-and-the-impossible-restriction-on-them/")</f>
        <v>https://mckinneynewssource.com/5-questions-about-the-next-u-s-dietary-guidelines-and-the-impossible-restriction-on-them/</v>
      </c>
      <c r="C2775" s="2" t="s">
        <v>330</v>
      </c>
      <c r="D2775" s="3">
        <v>45592.291666666657</v>
      </c>
      <c r="E2775" s="2" t="s">
        <v>331</v>
      </c>
    </row>
    <row r="2776" spans="1:5" ht="70" x14ac:dyDescent="0.2">
      <c r="A2776" s="2" t="s">
        <v>329</v>
      </c>
      <c r="B2776" s="2" t="str">
        <f>HYPERLINK("https://www.statnews.com/2024/10/27/dietary-guidelines-for-americans-ultra-processed-foods-questions/")</f>
        <v>https://www.statnews.com/2024/10/27/dietary-guidelines-for-americans-ultra-processed-foods-questions/</v>
      </c>
      <c r="C2776" s="2" t="s">
        <v>3025</v>
      </c>
      <c r="D2776" s="3">
        <v>45592.297106481477</v>
      </c>
      <c r="E2776" s="2" t="s">
        <v>331</v>
      </c>
    </row>
    <row r="2777" spans="1:5" ht="56" x14ac:dyDescent="0.2">
      <c r="A2777" s="2" t="s">
        <v>4004</v>
      </c>
      <c r="B2777" s="2" t="str">
        <f>HYPERLINK("https://greenmoney.com/dont-take-the-click-bait-marion-nestle-on-finding-the-truth-behind-food-industry-headlines/")</f>
        <v>https://greenmoney.com/dont-take-the-click-bait-marion-nestle-on-finding-the-truth-behind-food-industry-headlines/</v>
      </c>
      <c r="C2777" s="2" t="s">
        <v>4005</v>
      </c>
      <c r="D2777" s="3">
        <v>45592.907152777778</v>
      </c>
      <c r="E2777" s="2" t="s">
        <v>4006</v>
      </c>
    </row>
    <row r="2778" spans="1:5" ht="70" x14ac:dyDescent="0.2">
      <c r="A2778" s="2" t="s">
        <v>2200</v>
      </c>
      <c r="B2778" s="2" t="str">
        <f>HYPERLINK("https://www.delmarvanow.com/story/news/nation/2024/10/28/food-recalls-listeria-2024/75822582007/")</f>
        <v>https://www.delmarvanow.com/story/news/nation/2024/10/28/food-recalls-listeria-2024/75822582007/</v>
      </c>
      <c r="C2778" s="2" t="s">
        <v>2201</v>
      </c>
      <c r="D2778" s="3">
        <v>45593</v>
      </c>
      <c r="E2778" s="2" t="s">
        <v>1281</v>
      </c>
    </row>
    <row r="2779" spans="1:5" ht="70" x14ac:dyDescent="0.2">
      <c r="A2779" s="2" t="s">
        <v>1279</v>
      </c>
      <c r="B2779" s="2" t="str">
        <f>HYPERLINK("https://www.pal-item.com/story/news/nation/2024/10/28/food-recalls-listeria-2024/75822582007/")</f>
        <v>https://www.pal-item.com/story/news/nation/2024/10/28/food-recalls-listeria-2024/75822582007/</v>
      </c>
      <c r="C2779" s="2" t="s">
        <v>1306</v>
      </c>
      <c r="D2779" s="3">
        <v>45593.211134259262</v>
      </c>
      <c r="E2779" s="2" t="s">
        <v>1281</v>
      </c>
    </row>
    <row r="2780" spans="1:5" ht="70" x14ac:dyDescent="0.2">
      <c r="A2780" s="2" t="s">
        <v>1279</v>
      </c>
      <c r="B2780" s="2" t="str">
        <f>HYPERLINK("https://www.wisfarmer.com/story/news/nation/2024/10/28/food-recalls-listeria-2024/75822582007/")</f>
        <v>https://www.wisfarmer.com/story/news/nation/2024/10/28/food-recalls-listeria-2024/75822582007/</v>
      </c>
      <c r="C2780" s="2" t="s">
        <v>1414</v>
      </c>
      <c r="D2780" s="3">
        <v>45593.211134259262</v>
      </c>
      <c r="E2780" s="2" t="s">
        <v>1281</v>
      </c>
    </row>
    <row r="2781" spans="1:5" ht="70" x14ac:dyDescent="0.2">
      <c r="A2781" s="2" t="s">
        <v>1279</v>
      </c>
      <c r="B2781" s="2" t="str">
        <f>HYPERLINK("https://autos.yahoo.com/news/frozen-waffle-quarter-pounder-recalls-090402376.html")</f>
        <v>https://autos.yahoo.com/news/frozen-waffle-quarter-pounder-recalls-090402376.html</v>
      </c>
      <c r="C2781" s="2" t="s">
        <v>2873</v>
      </c>
      <c r="D2781" s="3">
        <v>45593.211134259262</v>
      </c>
      <c r="E2781" s="2" t="s">
        <v>1281</v>
      </c>
    </row>
    <row r="2782" spans="1:5" ht="70" x14ac:dyDescent="0.2">
      <c r="A2782" s="2" t="s">
        <v>2200</v>
      </c>
      <c r="B2782" s="2" t="str">
        <f>HYPERLINK("https://www.aol.com/news/frozen-waffle-quarter-pounder-recalls-090402376.html")</f>
        <v>https://www.aol.com/news/frozen-waffle-quarter-pounder-recalls-090402376.html</v>
      </c>
      <c r="C2782" s="2" t="s">
        <v>3592</v>
      </c>
      <c r="D2782" s="3">
        <v>45593.211134259262</v>
      </c>
      <c r="E2782" s="2" t="s">
        <v>1281</v>
      </c>
    </row>
    <row r="2783" spans="1:5" ht="70" x14ac:dyDescent="0.2">
      <c r="A2783" s="2" t="s">
        <v>1279</v>
      </c>
      <c r="B2783" s="2" t="str">
        <f>HYPERLINK("https://www.usatoday.com/story/news/nation/2024/10/28/food-recalls-listeria-2024/75822582007/")</f>
        <v>https://www.usatoday.com/story/news/nation/2024/10/28/food-recalls-listeria-2024/75822582007/</v>
      </c>
      <c r="C2783" s="2" t="s">
        <v>3687</v>
      </c>
      <c r="D2783" s="3">
        <v>45593.211134259262</v>
      </c>
      <c r="E2783" s="2" t="s">
        <v>1281</v>
      </c>
    </row>
    <row r="2784" spans="1:5" ht="70" x14ac:dyDescent="0.2">
      <c r="A2784" s="2" t="s">
        <v>1279</v>
      </c>
      <c r="B2784" s="2" t="str">
        <f>HYPERLINK("https://www.yahoo.com/news/frozen-waffle-quarter-pounder-recalls-090402376.html")</f>
        <v>https://www.yahoo.com/news/frozen-waffle-quarter-pounder-recalls-090402376.html</v>
      </c>
      <c r="C2784" s="2" t="s">
        <v>3728</v>
      </c>
      <c r="D2784" s="3">
        <v>45593.217893518522</v>
      </c>
      <c r="E2784" s="2" t="s">
        <v>1281</v>
      </c>
    </row>
    <row r="2785" spans="1:5" ht="70" x14ac:dyDescent="0.2">
      <c r="A2785" s="2" t="s">
        <v>1279</v>
      </c>
      <c r="B2785" s="2" t="str">
        <f>HYPERLINK("https://ca.news.yahoo.com/frozen-waffle-quarter-pounder-recalls-090402376.html")</f>
        <v>https://ca.news.yahoo.com/frozen-waffle-quarter-pounder-recalls-090402376.html</v>
      </c>
      <c r="C2785" s="2" t="s">
        <v>3097</v>
      </c>
      <c r="D2785" s="3">
        <v>45593.228888888887</v>
      </c>
      <c r="E2785" s="2" t="s">
        <v>1281</v>
      </c>
    </row>
    <row r="2786" spans="1:5" ht="84" x14ac:dyDescent="0.2">
      <c r="A2786" s="2" t="s">
        <v>3566</v>
      </c>
      <c r="B2786" s="2" t="str">
        <f>HYPERLINK("https://www.cronista.com/apertura/empresas/el-poder-mundial-del-lobby-agricola/")</f>
        <v>https://www.cronista.com/apertura/empresas/el-poder-mundial-del-lobby-agricola/</v>
      </c>
      <c r="C2786" s="2" t="s">
        <v>3567</v>
      </c>
      <c r="D2786" s="3">
        <v>45593.310416666667</v>
      </c>
      <c r="E2786" s="2" t="s">
        <v>3568</v>
      </c>
    </row>
    <row r="2787" spans="1:5" ht="84" x14ac:dyDescent="0.2">
      <c r="A2787" s="2" t="s">
        <v>1564</v>
      </c>
      <c r="B2787" s="2" t="str">
        <f>HYPERLINK("https://craigmedred.news/2024/10/28/big-trouble/")</f>
        <v>https://craigmedred.news/2024/10/28/big-trouble/</v>
      </c>
      <c r="C2787" s="2" t="s">
        <v>1565</v>
      </c>
      <c r="D2787" s="3">
        <v>45593.597696759258</v>
      </c>
      <c r="E2787" s="2" t="s">
        <v>1566</v>
      </c>
    </row>
    <row r="2788" spans="1:5" ht="84" x14ac:dyDescent="0.2">
      <c r="A2788" s="2" t="s">
        <v>3389</v>
      </c>
      <c r="B2788" s="2" t="str">
        <f>HYPERLINK("https://www.kompasiana.com/agustinus98698/671f81beed64157b0c1e3142/tahu-dan-tempe-kisah-pembelajaran-tentang-gizi-di-seminari-tinggi-ritapiret")</f>
        <v>https://www.kompasiana.com/agustinus98698/671f81beed64157b0c1e3142/tahu-dan-tempe-kisah-pembelajaran-tentang-gizi-di-seminari-tinggi-ritapiret</v>
      </c>
      <c r="C2788" s="2" t="s">
        <v>3387</v>
      </c>
      <c r="D2788" s="3">
        <v>45593.795138888891</v>
      </c>
      <c r="E2788" s="2" t="s">
        <v>3390</v>
      </c>
    </row>
    <row r="2789" spans="1:5" ht="98" x14ac:dyDescent="0.2">
      <c r="A2789" s="2" t="s">
        <v>1662</v>
      </c>
      <c r="B2789" s="2" t="str">
        <f>HYPERLINK("https://www.ktbs.com/health/what-alarms-health-experts-most-about-rfk-jr-is-what-he-s-leaving-out-of/article_cd273a09-b9e5-5f9e-a185-14f1196977a2.html")</f>
        <v>https://www.ktbs.com/health/what-alarms-health-experts-most-about-rfk-jr-is-what-he-s-leaving-out-of/article_cd273a09-b9e5-5f9e-a185-14f1196977a2.html</v>
      </c>
      <c r="C2789" s="2" t="s">
        <v>2216</v>
      </c>
      <c r="D2789" s="3">
        <v>45595</v>
      </c>
      <c r="E2789" s="2" t="s">
        <v>106</v>
      </c>
    </row>
    <row r="2790" spans="1:5" ht="98" x14ac:dyDescent="0.2">
      <c r="A2790" s="2" t="s">
        <v>1662</v>
      </c>
      <c r="B2790" s="2" t="str">
        <f>HYPERLINK("https://www.news8000.com/lifestyle/health/what-alarms-health-experts-most-about-rfk-jr-is-what-he-s-leaving-out-of/article_ce34ca37-5a40-58ee-82cb-de22d63f5fcc.html")</f>
        <v>https://www.news8000.com/lifestyle/health/what-alarms-health-experts-most-about-rfk-jr-is-what-he-s-leaving-out-of/article_ce34ca37-5a40-58ee-82cb-de22d63f5fcc.html</v>
      </c>
      <c r="C2790" s="2" t="s">
        <v>2192</v>
      </c>
      <c r="D2790" s="3">
        <v>45595</v>
      </c>
      <c r="E2790" s="2" t="s">
        <v>106</v>
      </c>
    </row>
    <row r="2791" spans="1:5" ht="84" x14ac:dyDescent="0.2">
      <c r="A2791" s="2" t="s">
        <v>1309</v>
      </c>
      <c r="B2791" s="2" t="str">
        <f>HYPERLINK("https://www.agri-pulse.com/articles/21837-kennedy-and-maha-do-they-have-staying-power")</f>
        <v>https://www.agri-pulse.com/articles/21837-kennedy-and-maha-do-they-have-staying-power</v>
      </c>
      <c r="C2791" s="2" t="s">
        <v>1308</v>
      </c>
      <c r="D2791" s="3">
        <v>45595.314120370371</v>
      </c>
      <c r="E2791" s="2" t="s">
        <v>1310</v>
      </c>
    </row>
    <row r="2792" spans="1:5" ht="98" x14ac:dyDescent="0.2">
      <c r="A2792" s="2" t="s">
        <v>2452</v>
      </c>
      <c r="B2792" s="2" t="str">
        <f>HYPERLINK("https://www.aol.com/news/alarms-health-experts-most-rfk-115944926.html")</f>
        <v>https://www.aol.com/news/alarms-health-experts-most-rfk-115944926.html</v>
      </c>
      <c r="C2792" s="2" t="s">
        <v>3592</v>
      </c>
      <c r="D2792" s="3">
        <v>45595.333148148151</v>
      </c>
      <c r="E2792" s="2" t="s">
        <v>1986</v>
      </c>
    </row>
    <row r="2793" spans="1:5" ht="98" x14ac:dyDescent="0.2">
      <c r="A2793" s="2" t="s">
        <v>1662</v>
      </c>
      <c r="B2793" s="2" t="str">
        <f>HYPERLINK("https://www.yahoo.com/news/alarms-health-experts-most-rfk-115944149.html")</f>
        <v>https://www.yahoo.com/news/alarms-health-experts-most-rfk-115944149.html</v>
      </c>
      <c r="C2793" s="2" t="s">
        <v>3728</v>
      </c>
      <c r="D2793" s="3">
        <v>45595.333148148151</v>
      </c>
      <c r="E2793" s="2" t="s">
        <v>106</v>
      </c>
    </row>
    <row r="2794" spans="1:5" ht="98" x14ac:dyDescent="0.2">
      <c r="A2794" s="2" t="s">
        <v>1662</v>
      </c>
      <c r="B2794" s="2" t="str">
        <f>HYPERLINK("https://www.cnn.com/2024/10/30/health/rfk-jr-health-policy/index.html")</f>
        <v>https://www.cnn.com/2024/10/30/health/rfk-jr-health-policy/index.html</v>
      </c>
      <c r="C2794" s="2" t="s">
        <v>3705</v>
      </c>
      <c r="D2794" s="3">
        <v>45595.336793981478</v>
      </c>
      <c r="E2794" s="2" t="s">
        <v>106</v>
      </c>
    </row>
    <row r="2795" spans="1:5" ht="98" x14ac:dyDescent="0.2">
      <c r="A2795" s="2" t="s">
        <v>1662</v>
      </c>
      <c r="B2795" s="2" t="str">
        <f>HYPERLINK("https://ktvz.com/health/cnn-health/2024/10/30/what-alarms-health-experts-most-about-rfk-jr-is-what-hes-leaving-out-of-his-health-policy-proposals/")</f>
        <v>https://ktvz.com/health/cnn-health/2024/10/30/what-alarms-health-experts-most-about-rfk-jr-is-what-hes-leaving-out-of-his-health-policy-proposals/</v>
      </c>
      <c r="C2795" s="2" t="s">
        <v>2747</v>
      </c>
      <c r="D2795" s="3">
        <v>45595.338159722232</v>
      </c>
      <c r="E2795" s="2" t="s">
        <v>106</v>
      </c>
    </row>
    <row r="2796" spans="1:5" ht="98" x14ac:dyDescent="0.2">
      <c r="A2796" s="2" t="s">
        <v>1662</v>
      </c>
      <c r="B2796" s="2" t="str">
        <f>HYPERLINK("https://keyt.com/health/cnn-health/2024/10/30/what-alarms-health-experts-most-about-rfk-jr-is-what-hes-leaving-out-of-his-health-policy-proposals/")</f>
        <v>https://keyt.com/health/cnn-health/2024/10/30/what-alarms-health-experts-most-about-rfk-jr-is-what-hes-leaving-out-of-his-health-policy-proposals/</v>
      </c>
      <c r="C2796" s="2" t="s">
        <v>2330</v>
      </c>
      <c r="D2796" s="3">
        <v>45595.34170138889</v>
      </c>
      <c r="E2796" s="2" t="s">
        <v>106</v>
      </c>
    </row>
    <row r="2797" spans="1:5" ht="98" x14ac:dyDescent="0.2">
      <c r="A2797" s="2" t="s">
        <v>1662</v>
      </c>
      <c r="B2797" s="2" t="str">
        <f>HYPERLINK("https://kion546.com/health/cnn-health/2024/10/30/what-alarms-health-experts-most-about-rfk-jr-is-what-hes-leaving-out-of-his-health-policy-proposals/")</f>
        <v>https://kion546.com/health/cnn-health/2024/10/30/what-alarms-health-experts-most-about-rfk-jr-is-what-hes-leaving-out-of-his-health-policy-proposals/</v>
      </c>
      <c r="C2797" s="2" t="s">
        <v>1955</v>
      </c>
      <c r="D2797" s="3">
        <v>45595.344189814823</v>
      </c>
      <c r="E2797" s="2" t="s">
        <v>106</v>
      </c>
    </row>
    <row r="2798" spans="1:5" ht="98" x14ac:dyDescent="0.2">
      <c r="A2798" s="2" t="s">
        <v>1662</v>
      </c>
      <c r="B2798" s="2" t="str">
        <f>HYPERLINK("https://abc17news.com/cnn-health/2024/10/30/what-alarms-health-experts-most-about-rfk-jr-is-what-hes-leaving-out-of-his-health-policy-proposals/")</f>
        <v>https://abc17news.com/cnn-health/2024/10/30/what-alarms-health-experts-most-about-rfk-jr-is-what-hes-leaving-out-of-his-health-policy-proposals/</v>
      </c>
      <c r="C2798" s="2" t="s">
        <v>2484</v>
      </c>
      <c r="D2798" s="3">
        <v>45595.344282407408</v>
      </c>
      <c r="E2798" s="2" t="s">
        <v>106</v>
      </c>
    </row>
    <row r="2799" spans="1:5" ht="98" x14ac:dyDescent="0.2">
      <c r="A2799" s="2" t="s">
        <v>1662</v>
      </c>
      <c r="B2799" s="2" t="str">
        <f>HYPERLINK("https://www.koamnewsnow.com/news/health/what-alarms-health-experts-most-about-rfk-jr-is-what-he-s-leaving-out-of/article_038cfabf-7424-5242-97be-b5bf7adb23ba.html")</f>
        <v>https://www.koamnewsnow.com/news/health/what-alarms-health-experts-most-about-rfk-jr-is-what-he-s-leaving-out-of/article_038cfabf-7424-5242-97be-b5bf7adb23ba.html</v>
      </c>
      <c r="C2799" s="2" t="s">
        <v>2024</v>
      </c>
      <c r="D2799" s="3">
        <v>45595.344953703701</v>
      </c>
      <c r="E2799" s="2" t="s">
        <v>106</v>
      </c>
    </row>
    <row r="2800" spans="1:5" ht="98" x14ac:dyDescent="0.2">
      <c r="A2800" s="2" t="s">
        <v>1662</v>
      </c>
      <c r="B2800" s="2" t="str">
        <f>HYPERLINK("https://krdo.com/news/2024/10/30/what-alarms-health-experts-most-about-rfk-jr-is-what-hes-leaving-out-of-his-health-policy-proposals/")</f>
        <v>https://krdo.com/news/2024/10/30/what-alarms-health-experts-most-about-rfk-jr-is-what-hes-leaving-out-of-his-health-policy-proposals/</v>
      </c>
      <c r="C2800" s="2" t="s">
        <v>2558</v>
      </c>
      <c r="D2800" s="3">
        <v>45595.345659722218</v>
      </c>
      <c r="E2800" s="2" t="s">
        <v>106</v>
      </c>
    </row>
    <row r="2801" spans="1:5" ht="98" x14ac:dyDescent="0.2">
      <c r="A2801" s="2" t="s">
        <v>1662</v>
      </c>
      <c r="B2801" s="2" t="str">
        <f>HYPERLINK("https://kvia.com/health/cnn-health/2024/10/30/what-alarms-health-experts-most-about-rfk-jr-is-what-hes-leaving-out-of-his-health-policy-proposals/")</f>
        <v>https://kvia.com/health/cnn-health/2024/10/30/what-alarms-health-experts-most-about-rfk-jr-is-what-hes-leaving-out-of-his-health-policy-proposals/</v>
      </c>
      <c r="C2801" s="2" t="s">
        <v>2358</v>
      </c>
      <c r="D2801" s="3">
        <v>45595.345937500002</v>
      </c>
      <c r="E2801" s="2" t="s">
        <v>106</v>
      </c>
    </row>
    <row r="2802" spans="1:5" ht="98" x14ac:dyDescent="0.2">
      <c r="A2802" s="2" t="s">
        <v>2452</v>
      </c>
      <c r="B2802" s="2" t="str">
        <f>HYPERLINK("https://kesq.com/health/cnn-health/2024/10/30/what-alarms-health-experts-most-about-rfk-jr-is-what-hes-leaving-out-of-his-health-policy-proposals/")</f>
        <v>https://kesq.com/health/cnn-health/2024/10/30/what-alarms-health-experts-most-about-rfk-jr-is-what-hes-leaving-out-of-his-health-policy-proposals/</v>
      </c>
      <c r="C2802" s="2" t="s">
        <v>2448</v>
      </c>
      <c r="D2802" s="3">
        <v>45595.348437499997</v>
      </c>
      <c r="E2802" s="2" t="s">
        <v>1986</v>
      </c>
    </row>
    <row r="2803" spans="1:5" ht="98" x14ac:dyDescent="0.2">
      <c r="A2803" s="2" t="s">
        <v>1662</v>
      </c>
      <c r="B2803" s="2" t="str">
        <f>HYPERLINK("https://www.crossroadstoday.com/news/health/what-alarms-health-experts-most-about-rfk-jr-is-what-he-s-leaving-out-of/article_7307e1c1-5352-5932-80e3-794171569bb4.html")</f>
        <v>https://www.crossroadstoday.com/news/health/what-alarms-health-experts-most-about-rfk-jr-is-what-he-s-leaving-out-of/article_7307e1c1-5352-5932-80e3-794171569bb4.html</v>
      </c>
      <c r="C2803" s="2" t="s">
        <v>1821</v>
      </c>
      <c r="D2803" s="3">
        <v>45595.349293981482</v>
      </c>
      <c r="E2803" s="2" t="s">
        <v>106</v>
      </c>
    </row>
    <row r="2804" spans="1:5" ht="98" x14ac:dyDescent="0.2">
      <c r="A2804" s="2" t="s">
        <v>1662</v>
      </c>
      <c r="B2804" s="2" t="str">
        <f>HYPERLINK("https://www.albanyherald.com/features/health/what-alarms-health-experts-most-about-rfk-jr-is-what-he-s-leaving-out-of/article_191975ec-77cb-5643-8c24-f7709d7e82a0.html")</f>
        <v>https://www.albanyherald.com/features/health/what-alarms-health-experts-most-about-rfk-jr-is-what-he-s-leaving-out-of/article_191975ec-77cb-5643-8c24-f7709d7e82a0.html</v>
      </c>
      <c r="C2804" s="2" t="s">
        <v>1936</v>
      </c>
      <c r="D2804" s="3">
        <v>45595.350451388891</v>
      </c>
      <c r="E2804" s="2" t="s">
        <v>106</v>
      </c>
    </row>
    <row r="2805" spans="1:5" ht="98" x14ac:dyDescent="0.2">
      <c r="A2805" s="2" t="s">
        <v>2222</v>
      </c>
      <c r="B2805" s="2" t="str">
        <f>HYPERLINK("https://localnews8.com/health/cnn-health/2024/10/30/what-alarms-health-experts-most-about-rfk-jr-is-what-hes-leaving-out-of-his-health-policy-proposals/")</f>
        <v>https://localnews8.com/health/cnn-health/2024/10/30/what-alarms-health-experts-most-about-rfk-jr-is-what-hes-leaving-out-of-his-health-policy-proposals/</v>
      </c>
      <c r="C2805" s="2" t="s">
        <v>2164</v>
      </c>
      <c r="D2805" s="3">
        <v>45595.353587962964</v>
      </c>
      <c r="E2805" s="2" t="s">
        <v>106</v>
      </c>
    </row>
    <row r="2806" spans="1:5" ht="98" x14ac:dyDescent="0.2">
      <c r="A2806" s="2" t="s">
        <v>1662</v>
      </c>
      <c r="B2806" s="2" t="str">
        <f>HYPERLINK("https://www.wsiltv.com/news/health/what-alarms-health-experts-most-about-rfk-jr-is-what-he-s-leaving-out-of/article_91004fd8-12e3-54f5-bb62-be6fb74b1454.html")</f>
        <v>https://www.wsiltv.com/news/health/what-alarms-health-experts-most-about-rfk-jr-is-what-he-s-leaving-out-of/article_91004fd8-12e3-54f5-bb62-be6fb74b1454.html</v>
      </c>
      <c r="C2806" s="2" t="s">
        <v>2232</v>
      </c>
      <c r="D2806" s="3">
        <v>45595.353946759264</v>
      </c>
      <c r="E2806" s="2" t="s">
        <v>106</v>
      </c>
    </row>
    <row r="2807" spans="1:5" ht="98" x14ac:dyDescent="0.2">
      <c r="A2807" s="2" t="s">
        <v>1662</v>
      </c>
      <c r="B2807" s="2" t="str">
        <f>HYPERLINK("https://www.applevalleynewsnow.com/news/health/what-alarms-health-experts-most-about-rfk-jr-is-what-he-s-leaving-out-of/article_025f62f7-0da0-52aa-9718-e8e67a25158c.html")</f>
        <v>https://www.applevalleynewsnow.com/news/health/what-alarms-health-experts-most-about-rfk-jr-is-what-he-s-leaving-out-of/article_025f62f7-0da0-52aa-9718-e8e67a25158c.html</v>
      </c>
      <c r="C2807" s="2" t="s">
        <v>1690</v>
      </c>
      <c r="D2807" s="3">
        <v>45595.355486111112</v>
      </c>
      <c r="E2807" s="2" t="s">
        <v>106</v>
      </c>
    </row>
    <row r="2808" spans="1:5" ht="98" x14ac:dyDescent="0.2">
      <c r="A2808" s="2" t="s">
        <v>1662</v>
      </c>
      <c r="B2808" s="2" t="str">
        <f>HYPERLINK("https://www.wevv.com/news/health/what-alarms-health-experts-most-about-rfk-jr-is-what-he-s-leaving-out-of/article_301fc883-e1c9-5a71-9b0d-ebd72ef50969.html")</f>
        <v>https://www.wevv.com/news/health/what-alarms-health-experts-most-about-rfk-jr-is-what-he-s-leaving-out-of/article_301fc883-e1c9-5a71-9b0d-ebd72ef50969.html</v>
      </c>
      <c r="C2808" s="2" t="s">
        <v>1926</v>
      </c>
      <c r="D2808" s="3">
        <v>45595.384664351863</v>
      </c>
      <c r="E2808" s="2" t="s">
        <v>106</v>
      </c>
    </row>
    <row r="2809" spans="1:5" ht="98" x14ac:dyDescent="0.2">
      <c r="A2809" s="2" t="s">
        <v>2452</v>
      </c>
      <c r="B2809" s="2" t="str">
        <f>HYPERLINK("https://www.kwwl.com/news/politics/what-alarms-health-experts-most-about-rfk-jr-is-what-he-s-leaving-out-of/article_b8507007-c84d-5a45-96ca-b40ea09d5000.html")</f>
        <v>https://www.kwwl.com/news/politics/what-alarms-health-experts-most-about-rfk-jr-is-what-he-s-leaving-out-of/article_b8507007-c84d-5a45-96ca-b40ea09d5000.html</v>
      </c>
      <c r="C2809" s="2" t="s">
        <v>2350</v>
      </c>
      <c r="D2809" s="3">
        <v>45595.463310185187</v>
      </c>
      <c r="E2809" s="2" t="s">
        <v>1986</v>
      </c>
    </row>
    <row r="2810" spans="1:5" ht="56" x14ac:dyDescent="0.2">
      <c r="A2810" s="2" t="s">
        <v>176</v>
      </c>
      <c r="B2810" s="2" t="str">
        <f>HYPERLINK("https://bitebi.com/the-dietary-guidelines-saga-continues-ii-the-same-old-recommendations/")</f>
        <v>https://bitebi.com/the-dietary-guidelines-saga-continues-ii-the-same-old-recommendations/</v>
      </c>
      <c r="C2810" s="2" t="s">
        <v>15</v>
      </c>
      <c r="D2810" s="3">
        <v>45595.524131944447</v>
      </c>
      <c r="E2810" s="2" t="s">
        <v>177</v>
      </c>
    </row>
    <row r="2811" spans="1:5" ht="98" x14ac:dyDescent="0.2">
      <c r="A2811" s="2" t="s">
        <v>1662</v>
      </c>
      <c r="B2811" s="2" t="str">
        <f>HYPERLINK("https://news.lee.net/partners/cnn/what-alarms-health-experts-most-about-rfk-jr-is-what-he-s-leaving-out-of/article_82262030-6ef5-5fad-b87d-d8d8ad5564d7.html")</f>
        <v>https://news.lee.net/partners/cnn/what-alarms-health-experts-most-about-rfk-jr-is-what-he-s-leaving-out-of/article_82262030-6ef5-5fad-b87d-d8d8ad5564d7.html</v>
      </c>
      <c r="C2811" s="2" t="s">
        <v>1651</v>
      </c>
      <c r="D2811" s="3">
        <v>45596.125590277778</v>
      </c>
      <c r="E2811" s="2" t="s">
        <v>106</v>
      </c>
    </row>
    <row r="2812" spans="1:5" ht="70" x14ac:dyDescent="0.2">
      <c r="A2812" s="2" t="s">
        <v>1045</v>
      </c>
      <c r="B2812" s="2" t="str">
        <f>HYPERLINK("https://granitepostnews.com/2024/10/31/maha-trump-rfk/")</f>
        <v>https://granitepostnews.com/2024/10/31/maha-trump-rfk/</v>
      </c>
      <c r="C2812" s="2" t="s">
        <v>1046</v>
      </c>
      <c r="D2812" s="3">
        <v>45596.235312500001</v>
      </c>
      <c r="E2812" s="2" t="s">
        <v>1047</v>
      </c>
    </row>
    <row r="2813" spans="1:5" ht="70" x14ac:dyDescent="0.2">
      <c r="A2813" s="2" t="s">
        <v>1045</v>
      </c>
      <c r="B2813" s="2" t="str">
        <f>HYPERLINK("https://vadogwood.com/2024/10/31/maha-trump-rfk/")</f>
        <v>https://vadogwood.com/2024/10/31/maha-trump-rfk/</v>
      </c>
      <c r="C2813" s="2" t="s">
        <v>1289</v>
      </c>
      <c r="D2813" s="3">
        <v>45596.235312500001</v>
      </c>
      <c r="E2813" s="2" t="s">
        <v>1047</v>
      </c>
    </row>
    <row r="2814" spans="1:5" ht="70" x14ac:dyDescent="0.2">
      <c r="A2814" s="2" t="s">
        <v>1045</v>
      </c>
      <c r="B2814" s="2" t="str">
        <f>HYPERLINK("https://cardinalpine.com/2024/10/31/maha-trump-rfk/")</f>
        <v>https://cardinalpine.com/2024/10/31/maha-trump-rfk/</v>
      </c>
      <c r="C2814" s="2" t="s">
        <v>1573</v>
      </c>
      <c r="D2814" s="3">
        <v>45596.235312500001</v>
      </c>
      <c r="E2814" s="2" t="s">
        <v>1047</v>
      </c>
    </row>
    <row r="2815" spans="1:5" ht="70" x14ac:dyDescent="0.2">
      <c r="A2815" s="2" t="s">
        <v>1045</v>
      </c>
      <c r="B2815" s="2" t="str">
        <f>HYPERLINK("https://gandernewsroom.com/2024/10/31/maha-trump-rfk/")</f>
        <v>https://gandernewsroom.com/2024/10/31/maha-trump-rfk/</v>
      </c>
      <c r="C2815" s="2" t="s">
        <v>1587</v>
      </c>
      <c r="D2815" s="3">
        <v>45596.235312500001</v>
      </c>
      <c r="E2815" s="2" t="s">
        <v>1047</v>
      </c>
    </row>
    <row r="2816" spans="1:5" ht="70" x14ac:dyDescent="0.2">
      <c r="A2816" s="2" t="s">
        <v>1045</v>
      </c>
      <c r="B2816" s="2" t="str">
        <f>HYPERLINK("https://floricuanews.com/2024/10/31/maha-trump-rfk/")</f>
        <v>https://floricuanews.com/2024/10/31/maha-trump-rfk/</v>
      </c>
      <c r="C2816" s="2" t="s">
        <v>3881</v>
      </c>
      <c r="D2816" s="3">
        <v>45596.235312500001</v>
      </c>
      <c r="E2816" s="2" t="s">
        <v>1047</v>
      </c>
    </row>
    <row r="2817" spans="1:5" ht="70" x14ac:dyDescent="0.2">
      <c r="A2817" s="2" t="s">
        <v>1045</v>
      </c>
      <c r="B2817" s="2" t="str">
        <f>HYPERLINK("https://iowastartingline.com/2024/10/31/maha-trump-rfk/")</f>
        <v>https://iowastartingline.com/2024/10/31/maha-trump-rfk/</v>
      </c>
      <c r="C2817" s="2" t="s">
        <v>1432</v>
      </c>
      <c r="D2817" s="3">
        <v>45596.276979166672</v>
      </c>
      <c r="E2817" s="2" t="s">
        <v>1047</v>
      </c>
    </row>
    <row r="2818" spans="1:5" ht="70" x14ac:dyDescent="0.2">
      <c r="A2818" s="2" t="s">
        <v>1045</v>
      </c>
      <c r="B2818" s="2" t="str">
        <f>HYPERLINK("https://upnorthnewswi.com/2024/10/31/maha-trump-rfk/")</f>
        <v>https://upnorthnewswi.com/2024/10/31/maha-trump-rfk/</v>
      </c>
      <c r="C2818" s="2" t="s">
        <v>1699</v>
      </c>
      <c r="D2818" s="3">
        <v>45596.276979166672</v>
      </c>
      <c r="E2818" s="2" t="s">
        <v>1047</v>
      </c>
    </row>
    <row r="2819" spans="1:5" ht="70" x14ac:dyDescent="0.2">
      <c r="A2819" s="2" t="s">
        <v>1045</v>
      </c>
      <c r="B2819" s="2" t="str">
        <f>HYPERLINK("https://coppercourier.com/2024/10/31/maha-trump-rfk/")</f>
        <v>https://coppercourier.com/2024/10/31/maha-trump-rfk/</v>
      </c>
      <c r="C2819" s="2" t="s">
        <v>1665</v>
      </c>
      <c r="D2819" s="3">
        <v>45596.360312500001</v>
      </c>
      <c r="E2819" s="2" t="s">
        <v>1047</v>
      </c>
    </row>
    <row r="2820" spans="1:5" ht="98" x14ac:dyDescent="0.2">
      <c r="A2820" s="2" t="s">
        <v>1662</v>
      </c>
      <c r="B2820" s="2" t="str">
        <f>HYPERLINK("https://www.wxow.com/news/politics/what-alarms-health-experts-most-about-rfk-jr-is-what-he-s-leaving-out-of/article_c206f953-c162-5603-81a5-d657d7bf3018.html")</f>
        <v>https://www.wxow.com/news/politics/what-alarms-health-experts-most-about-rfk-jr-is-what-he-s-leaving-out-of/article_c206f953-c162-5603-81a5-d657d7bf3018.html</v>
      </c>
      <c r="C2820" s="2" t="s">
        <v>2107</v>
      </c>
      <c r="D2820" s="3">
        <v>45596.495254629634</v>
      </c>
      <c r="E2820" s="2" t="s">
        <v>106</v>
      </c>
    </row>
    <row r="2821" spans="1:5" ht="56" x14ac:dyDescent="0.2">
      <c r="A2821" s="2" t="s">
        <v>1963</v>
      </c>
      <c r="B2821" s="2" t="str">
        <f>HYPERLINK("https://shorturl.at/lIXvm")</f>
        <v>https://shorturl.at/lIXvm</v>
      </c>
      <c r="C2821" s="2" t="s">
        <v>4074</v>
      </c>
      <c r="D2821" s="3">
        <v>45596.739583333343</v>
      </c>
      <c r="E2821" s="2" t="s">
        <v>1965</v>
      </c>
    </row>
    <row r="2822" spans="1:5" ht="56" x14ac:dyDescent="0.2">
      <c r="A2822" s="2" t="s">
        <v>1963</v>
      </c>
      <c r="B2822" s="2" t="str">
        <f>HYPERLINK("https://agfundernews.com/how-will-trump-and-harris-diverging-agendas-impact-food-trade-and-public-health")</f>
        <v>https://agfundernews.com/how-will-trump-and-harris-diverging-agendas-impact-food-trade-and-public-health</v>
      </c>
      <c r="C2822" s="2" t="s">
        <v>1964</v>
      </c>
      <c r="D2822" s="3">
        <v>45596.760810185187</v>
      </c>
      <c r="E2822" s="2" t="s">
        <v>1965</v>
      </c>
    </row>
    <row r="2823" spans="1:5" ht="42" x14ac:dyDescent="0.2">
      <c r="A2823" s="2" t="s">
        <v>3503</v>
      </c>
      <c r="B2823" s="2" t="str">
        <f>HYPERLINK("https://cuoituan.tuoitre.vn/vi-sao-thuc-an-quyen-ru-duoc-bon-meo-20241023084400715.htm")</f>
        <v>https://cuoituan.tuoitre.vn/vi-sao-thuc-an-quyen-ru-duoc-bon-meo-20241023084400715.htm</v>
      </c>
      <c r="C2823" s="2" t="s">
        <v>3478</v>
      </c>
      <c r="D2823" s="3">
        <v>45596.890972222223</v>
      </c>
      <c r="E2823" s="2" t="s">
        <v>3479</v>
      </c>
    </row>
    <row r="2824" spans="1:5" ht="70" x14ac:dyDescent="0.2">
      <c r="A2824" s="2" t="s">
        <v>1520</v>
      </c>
      <c r="B2824" s="2" t="str">
        <f>HYPERLINK("https://www.rtvslo.si/svet/zda-2024/podkast/americani-ogromno-hrane-proizvedejo-ogromno-pa-jo-tudi-zavrzejo/726075")</f>
        <v>https://www.rtvslo.si/svet/zda-2024/podkast/americani-ogromno-hrane-proizvedejo-ogromno-pa-jo-tudi-zavrzejo/726075</v>
      </c>
      <c r="C2824" s="2" t="s">
        <v>2928</v>
      </c>
      <c r="D2824" s="3">
        <v>45597.097708333327</v>
      </c>
      <c r="E2824" s="2" t="s">
        <v>1522</v>
      </c>
    </row>
    <row r="2825" spans="1:5" ht="70" x14ac:dyDescent="0.2">
      <c r="A2825" s="2" t="s">
        <v>1520</v>
      </c>
      <c r="B2825" s="2" t="str">
        <f>HYPERLINK("https://www.times.si/a/12d3c24e963a25020bb4c5de36b9294a363a4226/")</f>
        <v>https://www.times.si/a/12d3c24e963a25020bb4c5de36b9294a363a4226/</v>
      </c>
      <c r="C2825" s="2" t="s">
        <v>1521</v>
      </c>
      <c r="D2825" s="3">
        <v>45597.104571759257</v>
      </c>
      <c r="E2825" s="2" t="s">
        <v>1522</v>
      </c>
    </row>
    <row r="2826" spans="1:5" ht="70" x14ac:dyDescent="0.2">
      <c r="A2826" s="2" t="s">
        <v>2929</v>
      </c>
      <c r="B2826" s="2" t="str">
        <f>HYPERLINK("https://www.rtvslo.si/svet/zda-2024/podkast/americani-ogromno-hrane-proizvedejo-ogromno-pa-je-tudi-zavrzejo/726075")</f>
        <v>https://www.rtvslo.si/svet/zda-2024/podkast/americani-ogromno-hrane-proizvedejo-ogromno-pa-je-tudi-zavrzejo/726075</v>
      </c>
      <c r="C2826" s="2" t="s">
        <v>2928</v>
      </c>
      <c r="D2826" s="3">
        <v>45597.139016203713</v>
      </c>
      <c r="E2826" s="2" t="s">
        <v>1522</v>
      </c>
    </row>
    <row r="2827" spans="1:5" ht="70" x14ac:dyDescent="0.2">
      <c r="A2827" s="2" t="s">
        <v>3604</v>
      </c>
      <c r="B2827" s="2" t="str">
        <f>HYPERLINK("https://www.aol.com/lifestyle/america-healthy-again-gets-wrong-140800335.html")</f>
        <v>https://www.aol.com/lifestyle/america-healthy-again-gets-wrong-140800335.html</v>
      </c>
      <c r="C2827" s="2" t="s">
        <v>3592</v>
      </c>
      <c r="D2827" s="3">
        <v>45597.422222222223</v>
      </c>
      <c r="E2827" s="2" t="s">
        <v>3605</v>
      </c>
    </row>
    <row r="2828" spans="1:5" ht="70" x14ac:dyDescent="0.2">
      <c r="A2828" s="2" t="s">
        <v>3506</v>
      </c>
      <c r="B2828" s="2" t="str">
        <f>HYPERLINK("https://www.yahoo.com/news/america-healthy-again-gets-wrong-140800933.html")</f>
        <v>https://www.yahoo.com/news/america-healthy-again-gets-wrong-140800933.html</v>
      </c>
      <c r="C2828" s="2" t="s">
        <v>3728</v>
      </c>
      <c r="D2828" s="3">
        <v>45597.422222222223</v>
      </c>
      <c r="E2828" s="2" t="s">
        <v>3508</v>
      </c>
    </row>
    <row r="2829" spans="1:5" ht="70" x14ac:dyDescent="0.2">
      <c r="A2829" s="2" t="s">
        <v>3506</v>
      </c>
      <c r="B2829" s="2" t="str">
        <f>HYPERLINK("https://www.menshealth.com/health/a62777956/make-america-healthy-again-movement/")</f>
        <v>https://www.menshealth.com/health/a62777956/make-america-healthy-again-movement/</v>
      </c>
      <c r="C2829" s="2" t="s">
        <v>3507</v>
      </c>
      <c r="D2829" s="3">
        <v>45597.425949074073</v>
      </c>
      <c r="E2829" s="2" t="s">
        <v>3508</v>
      </c>
    </row>
    <row r="2830" spans="1:5" ht="70" x14ac:dyDescent="0.2">
      <c r="A2830" s="2" t="s">
        <v>1279</v>
      </c>
      <c r="B2830" s="2" t="str">
        <f>HYPERLINK("https://www.farmforum.net/story/news/agriculture/2024/11/03/food-recalls-listeria-2024/76040021007/")</f>
        <v>https://www.farmforum.net/story/news/agriculture/2024/11/03/food-recalls-listeria-2024/76040021007/</v>
      </c>
      <c r="C2830" s="2" t="s">
        <v>1280</v>
      </c>
      <c r="D2830" s="3">
        <v>45599.956469907411</v>
      </c>
      <c r="E2830" s="2" t="s">
        <v>1281</v>
      </c>
    </row>
    <row r="2831" spans="1:5" ht="56" x14ac:dyDescent="0.2">
      <c r="A2831" s="2" t="s">
        <v>211</v>
      </c>
      <c r="B2831" s="2" t="str">
        <f>HYPERLINK("http://www.richardhartley.com/2024/11/the-biggest-wellness-trends-of-2024-so-far/")</f>
        <v>http://www.richardhartley.com/2024/11/the-biggest-wellness-trends-of-2024-so-far/</v>
      </c>
      <c r="C2831" s="2" t="s">
        <v>171</v>
      </c>
      <c r="D2831" s="3">
        <v>45600.502685185187</v>
      </c>
      <c r="E2831" s="2" t="s">
        <v>172</v>
      </c>
    </row>
    <row r="2832" spans="1:5" ht="224" x14ac:dyDescent="0.2">
      <c r="A2832" s="2" t="s">
        <v>1078</v>
      </c>
      <c r="B2832" s="2" t="str">
        <f>HYPERLINK("https://www.mandarinian.news/%E7%9A%AE%E8%B4%A8%E9%86%87%E8%84%B8%E9%83%A8%E3%80%81%E5%8E%9F%E5%A5%B6%E5%92%8C%E5%84%BF%E7%AB%A5%E6%8A%A4%E8%82%A4%E5%93%81%EF%BC%9A2024-%E5%B9%B4%E6%9C%80%E5%A4%A7%E7%9A%84%E5%81%A5%E5%BA%B7/")</f>
        <v>https://www.mandarinian.news/%E7%9A%AE%E8%B4%A8%E9%86%87%E8%84%B8%E9%83%A8%E3%80%81%E5%8E%9F%E5%A5%B6%E5%92%8C%E5%84%BF%E7%AB%A5%E6%8A%A4%E8%82%A4%E5%93%81%EF%BC%9A2024-%E5%B9%B4%E6%9C%80%E5%A4%A7%E7%9A%84%E5%81%A5%E5%BA%B7/</v>
      </c>
      <c r="C2832" s="2" t="s">
        <v>1079</v>
      </c>
      <c r="D2832" s="3">
        <v>45600.622141203698</v>
      </c>
      <c r="E2832" s="2" t="s">
        <v>1080</v>
      </c>
    </row>
    <row r="2833" spans="1:5" ht="70" x14ac:dyDescent="0.2">
      <c r="A2833" s="2" t="s">
        <v>55</v>
      </c>
      <c r="B2833" s="2" t="str">
        <f>HYPERLINK("https://bitebi.com/industry-partnership-of-the-week-kentucky-beef-and-public-health-associations/")</f>
        <v>https://bitebi.com/industry-partnership-of-the-week-kentucky-beef-and-public-health-associations/</v>
      </c>
      <c r="C2833" s="2" t="s">
        <v>15</v>
      </c>
      <c r="D2833" s="3">
        <v>45600.858819444453</v>
      </c>
      <c r="E2833" s="2" t="s">
        <v>56</v>
      </c>
    </row>
    <row r="2834" spans="1:5" ht="98" x14ac:dyDescent="0.2">
      <c r="A2834" s="2" t="s">
        <v>1982</v>
      </c>
      <c r="B2834" s="2" t="str">
        <f>HYPERLINK("https://wbznewsradio.iheart.com/featured/nightside-with-dan-rea/content/2024-11-06-1002-nightside-with-dan-rea-nightside-news-update-11624/")</f>
        <v>https://wbznewsradio.iheart.com/featured/nightside-with-dan-rea/content/2024-11-06-1002-nightside-with-dan-rea-nightside-news-update-11624/</v>
      </c>
      <c r="C2834" s="2" t="s">
        <v>1983</v>
      </c>
      <c r="D2834" s="3">
        <v>45602</v>
      </c>
      <c r="E2834" s="2" t="s">
        <v>1984</v>
      </c>
    </row>
    <row r="2835" spans="1:5" ht="56" x14ac:dyDescent="0.2">
      <c r="A2835" s="2" t="s">
        <v>2018</v>
      </c>
      <c r="B2835" s="2" t="str">
        <f>HYPERLINK("https://www.greenqueen.com.hk/donald-trump-us-election-rfk-jr-food-tech-climate-change/")</f>
        <v>https://www.greenqueen.com.hk/donald-trump-us-election-rfk-jr-food-tech-climate-change/</v>
      </c>
      <c r="C2835" s="2" t="s">
        <v>2019</v>
      </c>
      <c r="D2835" s="3">
        <v>45602.297615740739</v>
      </c>
      <c r="E2835" s="2" t="s">
        <v>2020</v>
      </c>
    </row>
    <row r="2836" spans="1:5" ht="70" x14ac:dyDescent="0.2">
      <c r="A2836" s="2" t="s">
        <v>2879</v>
      </c>
      <c r="B2836" s="2" t="str">
        <f>HYPERLINK("https://dnyuz.com/2024/11/06/the-next-dietary-guidelines-may-punt-on-a-big-question-in-nutrition/")</f>
        <v>https://dnyuz.com/2024/11/06/the-next-dietary-guidelines-may-punt-on-a-big-question-in-nutrition/</v>
      </c>
      <c r="C2836" s="2" t="s">
        <v>2847</v>
      </c>
      <c r="D2836" s="3">
        <v>45602.47016203704</v>
      </c>
      <c r="E2836" s="2" t="s">
        <v>2880</v>
      </c>
    </row>
    <row r="2837" spans="1:5" ht="70" x14ac:dyDescent="0.2">
      <c r="A2837" s="2" t="s">
        <v>3719</v>
      </c>
      <c r="B2837" s="2" t="str">
        <f>HYPERLINK("https://www.nytimes.com/2024/11/06/well/eat/ultraprocessed-foods-dietary-guidelines.html")</f>
        <v>https://www.nytimes.com/2024/11/06/well/eat/ultraprocessed-foods-dietary-guidelines.html</v>
      </c>
      <c r="C2837" s="2" t="s">
        <v>3717</v>
      </c>
      <c r="D2837" s="3">
        <v>45602.477754629632</v>
      </c>
      <c r="E2837" s="2" t="s">
        <v>2880</v>
      </c>
    </row>
    <row r="2838" spans="1:5" ht="70" x14ac:dyDescent="0.2">
      <c r="A2838" s="2" t="s">
        <v>2738</v>
      </c>
      <c r="B2838" s="2" t="str">
        <f>HYPERLINK("https://www.yahoo.com/lifestyle/chicken-dinner-could-contaminated-concerned-104525992.html")</f>
        <v>https://www.yahoo.com/lifestyle/chicken-dinner-could-contaminated-concerned-104525992.html</v>
      </c>
      <c r="C2838" s="2" t="s">
        <v>3726</v>
      </c>
      <c r="D2838" s="3">
        <v>45602.533310185187</v>
      </c>
      <c r="E2838" s="2" t="s">
        <v>2622</v>
      </c>
    </row>
    <row r="2839" spans="1:5" ht="70" x14ac:dyDescent="0.2">
      <c r="A2839" s="2" t="s">
        <v>4033</v>
      </c>
      <c r="B2839" s="2" t="str">
        <f>HYPERLINK("https://cibum.gr/nea/diethni/pos-tha-epireastei-i-viomichania-trofimon-apo-tin-eklogi-tramp/")</f>
        <v>https://cibum.gr/nea/diethni/pos-tha-epireastei-i-viomichania-trofimon-apo-tin-eklogi-tramp/</v>
      </c>
      <c r="C2839" s="2" t="s">
        <v>4034</v>
      </c>
      <c r="D2839" s="3">
        <v>45602.541666666657</v>
      </c>
      <c r="E2839" s="2" t="s">
        <v>4035</v>
      </c>
    </row>
    <row r="2840" spans="1:5" ht="84" x14ac:dyDescent="0.2">
      <c r="A2840" s="2" t="s">
        <v>3039</v>
      </c>
      <c r="B2840" s="2" t="str">
        <f>HYPERLINK("https://www.post-gazette.com/life/food/2024/11/07/plant-based-dairy-milk-benefits/stories/202411070005")</f>
        <v>https://www.post-gazette.com/life/food/2024/11/07/plant-based-dairy-milk-benefits/stories/202411070005</v>
      </c>
      <c r="C2840" s="2" t="s">
        <v>3037</v>
      </c>
      <c r="D2840" s="3">
        <v>45603.238333333327</v>
      </c>
      <c r="E2840" s="2" t="s">
        <v>3040</v>
      </c>
    </row>
    <row r="2841" spans="1:5" ht="56" x14ac:dyDescent="0.2">
      <c r="A2841" s="2" t="s">
        <v>3126</v>
      </c>
      <c r="B2841" s="2" t="str">
        <f>HYPERLINK("https://au.news.yahoo.com/beef-industry-leader-called-usdas-113100445.html")</f>
        <v>https://au.news.yahoo.com/beef-industry-leader-called-usdas-113100445.html</v>
      </c>
      <c r="C2841" s="2" t="s">
        <v>3069</v>
      </c>
      <c r="D2841" s="3">
        <v>45603.271527777782</v>
      </c>
      <c r="E2841" s="2" t="s">
        <v>3127</v>
      </c>
    </row>
    <row r="2842" spans="1:5" ht="56" x14ac:dyDescent="0.2">
      <c r="A2842" s="2" t="s">
        <v>3126</v>
      </c>
      <c r="B2842" s="2" t="str">
        <f>HYPERLINK("https://www.aol.com/lifestyle/beef-industry-leader-called-usdas-113100157.html")</f>
        <v>https://www.aol.com/lifestyle/beef-industry-leader-called-usdas-113100157.html</v>
      </c>
      <c r="C2842" s="2" t="s">
        <v>3592</v>
      </c>
      <c r="D2842" s="3">
        <v>45603.271527777782</v>
      </c>
      <c r="E2842" s="2" t="s">
        <v>3127</v>
      </c>
    </row>
    <row r="2843" spans="1:5" ht="56" x14ac:dyDescent="0.2">
      <c r="A2843" s="2" t="s">
        <v>3731</v>
      </c>
      <c r="B2843" s="2" t="str">
        <f>HYPERLINK("https://www.yahoo.com/news/beef-industry-leader-called-usdas-113100445.html")</f>
        <v>https://www.yahoo.com/news/beef-industry-leader-called-usdas-113100445.html</v>
      </c>
      <c r="C2843" s="2" t="s">
        <v>3728</v>
      </c>
      <c r="D2843" s="3">
        <v>45603.271527777782</v>
      </c>
      <c r="E2843" s="2" t="s">
        <v>3495</v>
      </c>
    </row>
    <row r="2844" spans="1:5" ht="56" x14ac:dyDescent="0.2">
      <c r="A2844" s="2" t="s">
        <v>3493</v>
      </c>
      <c r="B2844" s="2" t="str">
        <f>HYPERLINK("https://www.foodandwine.com/usda-dietary-guidelines-2025-8740996")</f>
        <v>https://www.foodandwine.com/usda-dietary-guidelines-2025-8740996</v>
      </c>
      <c r="C2844" s="2" t="s">
        <v>3494</v>
      </c>
      <c r="D2844" s="3">
        <v>45603.277175925927</v>
      </c>
      <c r="E2844" s="2" t="s">
        <v>3495</v>
      </c>
    </row>
    <row r="2845" spans="1:5" ht="84" x14ac:dyDescent="0.2">
      <c r="A2845" s="2" t="s">
        <v>935</v>
      </c>
      <c r="B2845" s="2" t="str">
        <f>HYPERLINK("https://www.newslocker.com/en-ca/news/consumer-news/top-nutritionist-marion-nestle-to-speak-during-consumer-media-luncheon-at-new-york-produce-show-and-conference-perishablenews/")</f>
        <v>https://www.newslocker.com/en-ca/news/consumer-news/top-nutritionist-marion-nestle-to-speak-during-consumer-media-luncheon-at-new-york-produce-show-and-conference-perishablenews/</v>
      </c>
      <c r="C2845" s="2" t="s">
        <v>936</v>
      </c>
      <c r="D2845" s="3">
        <v>45603.378472222219</v>
      </c>
      <c r="E2845" s="2"/>
    </row>
    <row r="2846" spans="1:5" ht="56" x14ac:dyDescent="0.2">
      <c r="A2846" s="2" t="s">
        <v>29</v>
      </c>
      <c r="B2846" s="2" t="str">
        <f>HYPERLINK("https://bitebi.com/a-brief-comment-on-the-elections-food-politics/")</f>
        <v>https://bitebi.com/a-brief-comment-on-the-elections-food-politics/</v>
      </c>
      <c r="C2846" s="2" t="s">
        <v>15</v>
      </c>
      <c r="D2846" s="3">
        <v>45603.399629629632</v>
      </c>
      <c r="E2846" s="2" t="s">
        <v>30</v>
      </c>
    </row>
    <row r="2847" spans="1:5" ht="70" x14ac:dyDescent="0.2">
      <c r="A2847" s="2" t="s">
        <v>935</v>
      </c>
      <c r="B2847" s="2" t="str">
        <f>HYPERLINK("https://www.perishablenews.com/produce/top-nutritionist-marion-nestle-to-speak-during-consumer-media-luncheon-at-new-york-produce-show-and-conference/")</f>
        <v>https://www.perishablenews.com/produce/top-nutritionist-marion-nestle-to-speak-during-consumer-media-luncheon-at-new-york-produce-show-and-conference/</v>
      </c>
      <c r="C2847" s="2" t="s">
        <v>1269</v>
      </c>
      <c r="D2847" s="3">
        <v>45603.420266203713</v>
      </c>
      <c r="E2847" s="2" t="s">
        <v>1270</v>
      </c>
    </row>
    <row r="2848" spans="1:5" ht="112" x14ac:dyDescent="0.2">
      <c r="A2848" s="2" t="s">
        <v>2343</v>
      </c>
      <c r="B2848" s="2" t="str">
        <f>HYPERLINK("https://www.eleco.com.ar/en-positivo/dietas-magicas-y-promesas-de-alimentos-mitos-realidad-y-riesgos")</f>
        <v>https://www.eleco.com.ar/en-positivo/dietas-magicas-y-promesas-de-alimentos-mitos-realidad-y-riesgos</v>
      </c>
      <c r="C2848" s="2" t="s">
        <v>2344</v>
      </c>
      <c r="D2848" s="3">
        <v>45605.931319444448</v>
      </c>
      <c r="E2848" s="2" t="s">
        <v>2345</v>
      </c>
    </row>
    <row r="2849" spans="1:5" ht="42" x14ac:dyDescent="0.2">
      <c r="A2849" s="2" t="s">
        <v>3477</v>
      </c>
      <c r="B2849" s="2" t="str">
        <f>HYPERLINK("https://tuoitre.vn/thuc-an-cho-meo-mot-thanh-cong-khac-cua-nganh-tiep-thi-20241031103148599.htm")</f>
        <v>https://tuoitre.vn/thuc-an-cho-meo-mot-thanh-cong-khac-cua-nganh-tiep-thi-20241031103148599.htm</v>
      </c>
      <c r="C2849" s="2" t="s">
        <v>3478</v>
      </c>
      <c r="D2849" s="3">
        <v>45606.837071759262</v>
      </c>
      <c r="E2849" s="2" t="s">
        <v>3479</v>
      </c>
    </row>
    <row r="2850" spans="1:5" ht="98" x14ac:dyDescent="0.2">
      <c r="A2850" s="2" t="s">
        <v>2184</v>
      </c>
      <c r="B2850" s="2" t="str">
        <f>HYPERLINK("https://www.ladn.eu/non-classe/plus-de-muscles-et-une-sante-amelioree-les-barres-proteinees-sur-promettent-sans-complexe/")</f>
        <v>https://www.ladn.eu/non-classe/plus-de-muscles-et-une-sante-amelioree-les-barres-proteinees-sur-promettent-sans-complexe/</v>
      </c>
      <c r="C2850" s="2" t="s">
        <v>2185</v>
      </c>
      <c r="D2850" s="3">
        <v>45608.411168981482</v>
      </c>
      <c r="E2850" s="2" t="s">
        <v>2186</v>
      </c>
    </row>
    <row r="2851" spans="1:5" ht="84" x14ac:dyDescent="0.2">
      <c r="A2851" s="2" t="s">
        <v>3047</v>
      </c>
      <c r="B2851" s="2" t="str">
        <f>HYPERLINK("https://www.bnnbloomberg.ca/business/2024/11/12/rfk-jrs-maha-mantra-wins-over-fans-by-stoking-food-toxin-fear/")</f>
        <v>https://www.bnnbloomberg.ca/business/2024/11/12/rfk-jrs-maha-mantra-wins-over-fans-by-stoking-food-toxin-fear/</v>
      </c>
      <c r="C2851" s="2" t="s">
        <v>3048</v>
      </c>
      <c r="D2851" s="3">
        <v>45608.542372685188</v>
      </c>
      <c r="E2851" s="2" t="s">
        <v>1320</v>
      </c>
    </row>
    <row r="2852" spans="1:5" ht="84" x14ac:dyDescent="0.2">
      <c r="A2852" s="2" t="s">
        <v>3068</v>
      </c>
      <c r="B2852" s="2" t="str">
        <f>HYPERLINK("https://au.news.yahoo.com/america-healthy-again-rfk-jr-180101940.html")</f>
        <v>https://au.news.yahoo.com/america-healthy-again-rfk-jr-180101940.html</v>
      </c>
      <c r="C2852" s="2" t="s">
        <v>3069</v>
      </c>
      <c r="D2852" s="3">
        <v>45608.542372685188</v>
      </c>
      <c r="E2852" s="2" t="s">
        <v>3070</v>
      </c>
    </row>
    <row r="2853" spans="1:5" ht="84" x14ac:dyDescent="0.2">
      <c r="A2853" s="2" t="s">
        <v>2373</v>
      </c>
      <c r="B2853" s="2" t="str">
        <f>HYPERLINK("https://www.yahoo.com/news/america-healthy-again-rfk-jr-180101940.html")</f>
        <v>https://www.yahoo.com/news/america-healthy-again-rfk-jr-180101940.html</v>
      </c>
      <c r="C2853" s="2" t="s">
        <v>3728</v>
      </c>
      <c r="D2853" s="3">
        <v>45608.542372685188</v>
      </c>
      <c r="E2853" s="2" t="s">
        <v>1320</v>
      </c>
    </row>
    <row r="2854" spans="1:5" ht="84" x14ac:dyDescent="0.2">
      <c r="A2854" s="2" t="s">
        <v>2373</v>
      </c>
      <c r="B2854" s="2" t="str">
        <f>HYPERLINK("https://nz.news.yahoo.com/america-healthy-again-rfk-jr-180101940.html")</f>
        <v>https://nz.news.yahoo.com/america-healthy-again-rfk-jr-180101940.html</v>
      </c>
      <c r="C2854" s="2" t="s">
        <v>2518</v>
      </c>
      <c r="D2854" s="3">
        <v>45608.611435185187</v>
      </c>
      <c r="E2854" s="2" t="s">
        <v>1320</v>
      </c>
    </row>
    <row r="2855" spans="1:5" ht="70" x14ac:dyDescent="0.2">
      <c r="A2855" s="2" t="s">
        <v>3587</v>
      </c>
      <c r="B2855" s="2" t="str">
        <f>HYPERLINK("https://www.wsj.com/politics/trump-rfk-calley-casey-means-bc996dc1")</f>
        <v>https://www.wsj.com/politics/trump-rfk-calley-casey-means-bc996dc1</v>
      </c>
      <c r="C2855" s="2" t="s">
        <v>3588</v>
      </c>
      <c r="D2855" s="3">
        <v>45608.958333333343</v>
      </c>
      <c r="E2855" s="2" t="s">
        <v>3589</v>
      </c>
    </row>
    <row r="2856" spans="1:5" ht="70" x14ac:dyDescent="0.2">
      <c r="A2856" s="2" t="s">
        <v>4016</v>
      </c>
      <c r="B2856" s="2" t="str">
        <f>HYPERLINK("https://www.portaltela.com/saude/saude-publica/2024/11/13/comite-de-nutricao-dos-eua-ignora-recomendacoes-sobre-alimentos-ultraprocessados-em-diretrizes")</f>
        <v>https://www.portaltela.com/saude/saude-publica/2024/11/13/comite-de-nutricao-dos-eua-ignora-recomendacoes-sobre-alimentos-ultraprocessados-em-diretrizes</v>
      </c>
      <c r="C2856" s="2" t="s">
        <v>3833</v>
      </c>
      <c r="D2856" s="3">
        <v>45609</v>
      </c>
      <c r="E2856" s="2" t="s">
        <v>4017</v>
      </c>
    </row>
    <row r="2857" spans="1:5" ht="280" x14ac:dyDescent="0.2">
      <c r="A2857" s="2" t="s">
        <v>4062</v>
      </c>
      <c r="B2857" s="2" t="str">
        <f>HYPERLINK("https://oxfordre.com/newsitem/848/ore-of-food-studies-available-via-subscription-and-perpetual-access?linkId=300000017750031")</f>
        <v>https://oxfordre.com/newsitem/848/ore-of-food-studies-available-via-subscription-and-perpetual-access?linkId=300000017750031</v>
      </c>
      <c r="C2857" s="2" t="s">
        <v>4063</v>
      </c>
      <c r="D2857" s="3">
        <v>45609</v>
      </c>
      <c r="E2857" s="2" t="s">
        <v>4064</v>
      </c>
    </row>
    <row r="2858" spans="1:5" ht="84" x14ac:dyDescent="0.2">
      <c r="A2858" s="2" t="s">
        <v>2373</v>
      </c>
      <c r="B2858" s="2" t="str">
        <f>HYPERLINK("https://www.insurancejournal.com/news/national/2024/11/13/800910.htm")</f>
        <v>https://www.insurancejournal.com/news/national/2024/11/13/800910.htm</v>
      </c>
      <c r="C2858" s="2" t="s">
        <v>2374</v>
      </c>
      <c r="D2858" s="3">
        <v>45609.053310185183</v>
      </c>
      <c r="E2858" s="2" t="s">
        <v>1320</v>
      </c>
    </row>
    <row r="2859" spans="1:5" ht="98" x14ac:dyDescent="0.2">
      <c r="A2859" s="2" t="s">
        <v>1971</v>
      </c>
      <c r="B2859" s="2" t="str">
        <f>HYPERLINK("https://civileats.com/2024/11/13/food-and-agriculture-visionaries-look-forward/")</f>
        <v>https://civileats.com/2024/11/13/food-and-agriculture-visionaries-look-forward/</v>
      </c>
      <c r="C2859" s="2" t="s">
        <v>1782</v>
      </c>
      <c r="D2859" s="3">
        <v>45609.175543981481</v>
      </c>
      <c r="E2859" s="2" t="s">
        <v>1716</v>
      </c>
    </row>
    <row r="2860" spans="1:5" ht="84" x14ac:dyDescent="0.2">
      <c r="A2860" s="2" t="s">
        <v>2175</v>
      </c>
      <c r="B2860" s="2" t="str">
        <f>HYPERLINK("https://ssir.org/articles/entry/food-systems-leadership")</f>
        <v>https://ssir.org/articles/entry/food-systems-leadership</v>
      </c>
      <c r="C2860" s="2" t="s">
        <v>2176</v>
      </c>
      <c r="D2860" s="3">
        <v>45609.37605324074</v>
      </c>
      <c r="E2860" s="2" t="s">
        <v>2177</v>
      </c>
    </row>
    <row r="2861" spans="1:5" ht="238" x14ac:dyDescent="0.2">
      <c r="A2861" s="2" t="s">
        <v>136</v>
      </c>
      <c r="B2861" s="2" t="str">
        <f>HYPERLINK("https://bitebi.com/uk-house-of-lords-issues-report-on-how-to-fix-food-systems/")</f>
        <v>https://bitebi.com/uk-house-of-lords-issues-report-on-how-to-fix-food-systems/</v>
      </c>
      <c r="C2861" s="2" t="s">
        <v>15</v>
      </c>
      <c r="D2861" s="3">
        <v>45609.398912037039</v>
      </c>
      <c r="E2861" s="2" t="s">
        <v>137</v>
      </c>
    </row>
    <row r="2862" spans="1:5" ht="70" x14ac:dyDescent="0.2">
      <c r="A2862" s="2" t="s">
        <v>2639</v>
      </c>
      <c r="B2862" s="2" t="str">
        <f>HYPERLINK("https://www.adn.com/nation-world/2024/11/13/rfk-jr-claims-canadian-froot-loops-are-healthier-with-just-3-ingredients-they-actually-have-17/")</f>
        <v>https://www.adn.com/nation-world/2024/11/13/rfk-jr-claims-canadian-froot-loops-are-healthier-with-just-3-ingredients-they-actually-have-17/</v>
      </c>
      <c r="C2862" s="2" t="s">
        <v>2640</v>
      </c>
      <c r="D2862" s="3">
        <v>45609.399965277778</v>
      </c>
      <c r="E2862" s="2" t="s">
        <v>2641</v>
      </c>
    </row>
    <row r="2863" spans="1:5" ht="84" x14ac:dyDescent="0.2">
      <c r="A2863" s="2" t="s">
        <v>3513</v>
      </c>
      <c r="B2863" s="2" t="str">
        <f>HYPERLINK("https://www1.folha.uol.com.br/equilibrio/2024/11/comite-de-nutricao-nos-eua-nao-inclui-orientacoes-sobre-ultraprocessados-em-diretrizes.shtml")</f>
        <v>https://www1.folha.uol.com.br/equilibrio/2024/11/comite-de-nutricao-nos-eua-nao-inclui-orientacoes-sobre-ultraprocessados-em-diretrizes.shtml</v>
      </c>
      <c r="C2863" s="2" t="s">
        <v>3511</v>
      </c>
      <c r="D2863" s="3">
        <v>45609.462083333332</v>
      </c>
      <c r="E2863" s="2" t="s">
        <v>3514</v>
      </c>
    </row>
    <row r="2864" spans="1:5" ht="84" x14ac:dyDescent="0.2">
      <c r="A2864" s="2" t="s">
        <v>3513</v>
      </c>
      <c r="B2864" s="2" t="str">
        <f>HYPERLINK("https://maistopnews.com.br/comite-de-nutricao-nos-eua-nao-inclui-orientacoes-sobre-ultraprocessados-em-diretrizes/")</f>
        <v>https://maistopnews.com.br/comite-de-nutricao-nos-eua-nao-inclui-orientacoes-sobre-ultraprocessados-em-diretrizes/</v>
      </c>
      <c r="C2864" s="2" t="s">
        <v>3816</v>
      </c>
      <c r="D2864" s="3">
        <v>45609.49428240741</v>
      </c>
      <c r="E2864" s="2" t="s">
        <v>3514</v>
      </c>
    </row>
    <row r="2865" spans="1:5" ht="154" x14ac:dyDescent="0.2">
      <c r="A2865" s="2" t="s">
        <v>3114</v>
      </c>
      <c r="B2865" s="2" t="str">
        <f>HYPERLINK("https://torontosun.com/news/world/lunchables-taken-off-u-s-school-lunch-trays-because-of-lack-of-demand")</f>
        <v>https://torontosun.com/news/world/lunchables-taken-off-u-s-school-lunch-trays-because-of-lack-of-demand</v>
      </c>
      <c r="C2865" s="2" t="s">
        <v>3115</v>
      </c>
      <c r="D2865" s="3">
        <v>45609.639340277783</v>
      </c>
      <c r="E2865" s="2" t="s">
        <v>3116</v>
      </c>
    </row>
    <row r="2866" spans="1:5" ht="84" x14ac:dyDescent="0.2">
      <c r="A2866" s="2" t="s">
        <v>1598</v>
      </c>
      <c r="B2866" s="2" t="str">
        <f>HYPERLINK("https://lado.mx/noticia.php?id=17092282")</f>
        <v>https://lado.mx/noticia.php?id=17092282</v>
      </c>
      <c r="C2866" s="2" t="s">
        <v>1599</v>
      </c>
      <c r="D2866" s="3">
        <v>45609.751458333332</v>
      </c>
      <c r="E2866" s="2" t="s">
        <v>1600</v>
      </c>
    </row>
    <row r="2867" spans="1:5" ht="84" x14ac:dyDescent="0.2">
      <c r="A2867" s="2" t="s">
        <v>1598</v>
      </c>
      <c r="B2867" s="2" t="str">
        <f>HYPERLINK("https://diario.mx/salud/2024/nov/13/los-edulcorantes-artificiales-son-mas-seguros-que-el-azucar-1041163.html")</f>
        <v>https://diario.mx/salud/2024/nov/13/los-edulcorantes-artificiales-son-mas-seguros-que-el-azucar-1041163.html</v>
      </c>
      <c r="C2867" s="2" t="s">
        <v>2945</v>
      </c>
      <c r="D2867" s="3">
        <v>45609.790277777778</v>
      </c>
      <c r="E2867" s="2" t="s">
        <v>1600</v>
      </c>
    </row>
    <row r="2868" spans="1:5" ht="70" x14ac:dyDescent="0.2">
      <c r="A2868" s="2" t="s">
        <v>3732</v>
      </c>
      <c r="B2868" s="2" t="str">
        <f>HYPERLINK("https://www.yahoo.com/news/rfk-jr-claims-canadian-froot-013904654.html")</f>
        <v>https://www.yahoo.com/news/rfk-jr-claims-canadian-froot-013904654.html</v>
      </c>
      <c r="C2868" s="2" t="s">
        <v>3728</v>
      </c>
      <c r="D2868" s="3">
        <v>45609.860462962963</v>
      </c>
      <c r="E2868" s="2" t="s">
        <v>3733</v>
      </c>
    </row>
    <row r="2869" spans="1:5" ht="84" x14ac:dyDescent="0.2">
      <c r="A2869" s="2" t="s">
        <v>1598</v>
      </c>
      <c r="B2869" s="2" t="str">
        <f>HYPERLINK("https://www.eldiariodechihuahua.mx/salud/2024/nov/13/los-edulcorantes-artificiales-son-mas-seguros-que-el-azucar-656499.html")</f>
        <v>https://www.eldiariodechihuahua.mx/salud/2024/nov/13/los-edulcorantes-artificiales-son-mas-seguros-que-el-azucar-656499.html</v>
      </c>
      <c r="C2869" s="2" t="s">
        <v>2532</v>
      </c>
      <c r="D2869" s="3">
        <v>45609.888356481482</v>
      </c>
      <c r="E2869" s="2" t="s">
        <v>1600</v>
      </c>
    </row>
    <row r="2870" spans="1:5" ht="84" x14ac:dyDescent="0.2">
      <c r="A2870" s="2" t="s">
        <v>3664</v>
      </c>
      <c r="B2870" s="2" t="str">
        <f>HYPERLINK("https://www.newsweek.com/how-safe-us-food-experts-verdicts-after-listeria-e-coli-outbreaks-1984278")</f>
        <v>https://www.newsweek.com/how-safe-us-food-experts-verdicts-after-listeria-e-coli-outbreaks-1984278</v>
      </c>
      <c r="C2870" s="2" t="s">
        <v>3663</v>
      </c>
      <c r="D2870" s="3">
        <v>45610.176678240743</v>
      </c>
      <c r="E2870" s="2" t="s">
        <v>2848</v>
      </c>
    </row>
    <row r="2871" spans="1:5" ht="84" x14ac:dyDescent="0.2">
      <c r="A2871" s="2" t="s">
        <v>2846</v>
      </c>
      <c r="B2871" s="2" t="str">
        <f>HYPERLINK("https://dnyuz.com/2024/11/14/how-safe-is-us-food-experts-verdicts-after-listeria-e-coli-outbreaks/")</f>
        <v>https://dnyuz.com/2024/11/14/how-safe-is-us-food-experts-verdicts-after-listeria-e-coli-outbreaks/</v>
      </c>
      <c r="C2871" s="2" t="s">
        <v>2847</v>
      </c>
      <c r="D2871" s="3">
        <v>45610.182581018518</v>
      </c>
      <c r="E2871" s="2" t="s">
        <v>2848</v>
      </c>
    </row>
    <row r="2872" spans="1:5" ht="112" x14ac:dyDescent="0.2">
      <c r="A2872" s="2" t="s">
        <v>2983</v>
      </c>
      <c r="B2872" s="2" t="str">
        <f>HYPERLINK("https://omni.se/syskonen-ska-hjalpa-rfk-att-gora-usa-halsosamt-igen/a/KMbVVG")</f>
        <v>https://omni.se/syskonen-ska-hjalpa-rfk-att-gora-usa-halsosamt-igen/a/KMbVVG</v>
      </c>
      <c r="C2872" s="2" t="s">
        <v>2984</v>
      </c>
      <c r="D2872" s="3">
        <v>45610.191365740742</v>
      </c>
      <c r="E2872" s="2" t="s">
        <v>2985</v>
      </c>
    </row>
    <row r="2873" spans="1:5" ht="84" x14ac:dyDescent="0.2">
      <c r="A2873" s="2" t="s">
        <v>1318</v>
      </c>
      <c r="B2873" s="2" t="str">
        <f>HYPERLINK("https://www.carriermanagement.com/news/2024/11/14/268563.htm")</f>
        <v>https://www.carriermanagement.com/news/2024/11/14/268563.htm</v>
      </c>
      <c r="C2873" s="2" t="s">
        <v>1319</v>
      </c>
      <c r="D2873" s="3">
        <v>45610.352256944447</v>
      </c>
      <c r="E2873" s="2" t="s">
        <v>1320</v>
      </c>
    </row>
    <row r="2874" spans="1:5" ht="56" x14ac:dyDescent="0.2">
      <c r="A2874" s="2" t="s">
        <v>1001</v>
      </c>
      <c r="B2874" s="2" t="str">
        <f>HYPERLINK("https://malaysia.news.yahoo.com/rfk-jr-faces-battles-quest-140641968.html")</f>
        <v>https://malaysia.news.yahoo.com/rfk-jr-faces-battles-quest-140641968.html</v>
      </c>
      <c r="C2874" s="2" t="s">
        <v>2674</v>
      </c>
      <c r="D2874" s="3">
        <v>45610.379641203697</v>
      </c>
      <c r="E2874" s="2" t="s">
        <v>1094</v>
      </c>
    </row>
    <row r="2875" spans="1:5" ht="56" x14ac:dyDescent="0.2">
      <c r="A2875" s="2" t="s">
        <v>3072</v>
      </c>
      <c r="B2875" s="2" t="str">
        <f>HYPERLINK("https://au.news.yahoo.com/rfk-jr-faces-battles-quest-140641968.html")</f>
        <v>https://au.news.yahoo.com/rfk-jr-faces-battles-quest-140641968.html</v>
      </c>
      <c r="C2875" s="2" t="s">
        <v>3069</v>
      </c>
      <c r="D2875" s="3">
        <v>45610.379641203697</v>
      </c>
      <c r="E2875" s="2" t="s">
        <v>3073</v>
      </c>
    </row>
    <row r="2876" spans="1:5" ht="56" x14ac:dyDescent="0.2">
      <c r="A2876" s="2" t="s">
        <v>1001</v>
      </c>
      <c r="B2876" s="2" t="str">
        <f>HYPERLINK("https://www.yahoo.com/news/rfk-jr-faces-battles-quest-140641968.html")</f>
        <v>https://www.yahoo.com/news/rfk-jr-faces-battles-quest-140641968.html</v>
      </c>
      <c r="C2876" s="2" t="s">
        <v>3728</v>
      </c>
      <c r="D2876" s="3">
        <v>45610.519120370373</v>
      </c>
      <c r="E2876" s="2" t="s">
        <v>1094</v>
      </c>
    </row>
    <row r="2877" spans="1:5" ht="56" x14ac:dyDescent="0.2">
      <c r="A2877" s="2" t="s">
        <v>1001</v>
      </c>
      <c r="B2877" s="2" t="str">
        <f>HYPERLINK("https://citydesk.org/2024/rfk-jr-faces-battles-in-quest-to-change-americas-food/")</f>
        <v>https://citydesk.org/2024/rfk-jr-faces-battles-in-quest-to-change-americas-food/</v>
      </c>
      <c r="C2877" s="2" t="s">
        <v>1002</v>
      </c>
      <c r="D2877" s="3">
        <v>45610.721064814818</v>
      </c>
      <c r="E2877" s="2" t="s">
        <v>1003</v>
      </c>
    </row>
    <row r="2878" spans="1:5" ht="56" x14ac:dyDescent="0.2">
      <c r="A2878" s="2" t="s">
        <v>1093</v>
      </c>
      <c r="B2878" s="2" t="str">
        <f>HYPERLINK("https://thebharatexpressnews.com/rfk-jr-faces-battles-in-his-quest-to-change-american-food/")</f>
        <v>https://thebharatexpressnews.com/rfk-jr-faces-battles-in-his-quest-to-change-american-food/</v>
      </c>
      <c r="C2878" s="2" t="s">
        <v>1091</v>
      </c>
      <c r="D2878" s="3">
        <v>45610.732210648152</v>
      </c>
      <c r="E2878" s="2" t="s">
        <v>1094</v>
      </c>
    </row>
    <row r="2879" spans="1:5" ht="56" x14ac:dyDescent="0.2">
      <c r="A2879" s="2" t="s">
        <v>3190</v>
      </c>
      <c r="B2879" s="2" t="str">
        <f>HYPERLINK("https://www.detroitnews.com/story/news/politics/2024/11/14/kennedy-faces-battles-in-quest-to-change-the-food-america-eats/76308098007/")</f>
        <v>https://www.detroitnews.com/story/news/politics/2024/11/14/kennedy-faces-battles-in-quest-to-change-the-food-america-eats/76308098007/</v>
      </c>
      <c r="C2879" s="2" t="s">
        <v>3191</v>
      </c>
      <c r="D2879" s="3">
        <v>45610.768958333327</v>
      </c>
      <c r="E2879" s="2" t="s">
        <v>1094</v>
      </c>
    </row>
    <row r="2880" spans="1:5" ht="56" x14ac:dyDescent="0.2">
      <c r="A2880" s="2" t="s">
        <v>3072</v>
      </c>
      <c r="B2880" s="2" t="str">
        <f>HYPERLINK("https://uk.news.yahoo.com/rfk-jr-faces-battles-quest-140641968.html")</f>
        <v>https://uk.news.yahoo.com/rfk-jr-faces-battles-quest-140641968.html</v>
      </c>
      <c r="C2880" s="2" t="s">
        <v>3264</v>
      </c>
      <c r="D2880" s="3">
        <v>45610.806909722232</v>
      </c>
      <c r="E2880" s="2" t="s">
        <v>3073</v>
      </c>
    </row>
    <row r="2881" spans="1:5" ht="56" x14ac:dyDescent="0.2">
      <c r="A2881" s="2" t="s">
        <v>1001</v>
      </c>
      <c r="B2881" s="2" t="str">
        <f>HYPERLINK("https://ca.news.yahoo.com/rfk-jr-faces-battles-quest-140641968.html")</f>
        <v>https://ca.news.yahoo.com/rfk-jr-faces-battles-quest-140641968.html</v>
      </c>
      <c r="C2881" s="2" t="s">
        <v>3097</v>
      </c>
      <c r="D2881" s="3">
        <v>45610.822546296287</v>
      </c>
      <c r="E2881" s="2" t="s">
        <v>1094</v>
      </c>
    </row>
    <row r="2882" spans="1:5" ht="98" x14ac:dyDescent="0.2">
      <c r="A2882" s="2" t="s">
        <v>105</v>
      </c>
      <c r="B2882" s="2" t="str">
        <f>HYPERLINK("https://www.kamumedya.com/rfk-jr-s-to-do-list-to-make-america-healthy-has-health-experts-worried-609090.html")</f>
        <v>https://www.kamumedya.com/rfk-jr-s-to-do-list-to-make-america-healthy-has-health-experts-worried-609090.html</v>
      </c>
      <c r="C2882" s="2" t="s">
        <v>79</v>
      </c>
      <c r="D2882" s="3">
        <v>45611</v>
      </c>
      <c r="E2882" s="2" t="s">
        <v>106</v>
      </c>
    </row>
    <row r="2883" spans="1:5" ht="98" x14ac:dyDescent="0.2">
      <c r="A2883" s="2" t="s">
        <v>1653</v>
      </c>
      <c r="B2883" s="2" t="str">
        <f>HYPERLINK("https://www.news8000.com/lifestyle/health/rfk-jr-s-to-do-list-to-make-america-healthy-has-health-experts-worried/article_5854caf8-c5de-550e-88cb-796dbfb89696.html")</f>
        <v>https://www.news8000.com/lifestyle/health/rfk-jr-s-to-do-list-to-make-america-healthy-has-health-experts-worried/article_5854caf8-c5de-550e-88cb-796dbfb89696.html</v>
      </c>
      <c r="C2883" s="2" t="s">
        <v>2192</v>
      </c>
      <c r="D2883" s="3">
        <v>45611</v>
      </c>
      <c r="E2883" s="2" t="s">
        <v>106</v>
      </c>
    </row>
    <row r="2884" spans="1:5" ht="98" x14ac:dyDescent="0.2">
      <c r="A2884" s="2" t="s">
        <v>1653</v>
      </c>
      <c r="B2884" s="2" t="str">
        <f>HYPERLINK("https://www.news8000.com/news/national-world/rfk-jr-s-to-do-list-to-make-america-healthy-has-health-experts-worried/article_5854caf8-c5de-550e-88cb-796dbfb89696.html")</f>
        <v>https://www.news8000.com/news/national-world/rfk-jr-s-to-do-list-to-make-america-healthy-has-health-experts-worried/article_5854caf8-c5de-550e-88cb-796dbfb89696.html</v>
      </c>
      <c r="C2884" s="2" t="s">
        <v>2192</v>
      </c>
      <c r="D2884" s="3">
        <v>45611</v>
      </c>
      <c r="E2884" s="2" t="s">
        <v>106</v>
      </c>
    </row>
    <row r="2885" spans="1:5" ht="112" x14ac:dyDescent="0.2">
      <c r="A2885" s="2" t="s">
        <v>1624</v>
      </c>
      <c r="B2885" s="2" t="str">
        <f>HYPERLINK("https://www.heraldsun.com/news/nation-world/national/article295601174.html")</f>
        <v>https://www.heraldsun.com/news/nation-world/national/article295601174.html</v>
      </c>
      <c r="C2885" s="2" t="s">
        <v>1625</v>
      </c>
      <c r="D2885" s="3">
        <v>45611.245625000003</v>
      </c>
      <c r="E2885" s="2" t="s">
        <v>1626</v>
      </c>
    </row>
    <row r="2886" spans="1:5" ht="98" x14ac:dyDescent="0.2">
      <c r="A2886" s="2" t="s">
        <v>1624</v>
      </c>
      <c r="B2886" s="2" t="str">
        <f>HYPERLINK("https://www.mahoningmatters.com/news/nation-world/national/article295601174.html")</f>
        <v>https://www.mahoningmatters.com/news/nation-world/national/article295601174.html</v>
      </c>
      <c r="C2886" s="2" t="s">
        <v>1822</v>
      </c>
      <c r="D2886" s="3">
        <v>45611.245625000003</v>
      </c>
      <c r="E2886" s="2" t="s">
        <v>1823</v>
      </c>
    </row>
    <row r="2887" spans="1:5" ht="112" x14ac:dyDescent="0.2">
      <c r="A2887" s="2" t="s">
        <v>1624</v>
      </c>
      <c r="B2887" s="2" t="str">
        <f>HYPERLINK("https://www.bradenton.com/news/nation-world/national/article295601174.html")</f>
        <v>https://www.bradenton.com/news/nation-world/national/article295601174.html</v>
      </c>
      <c r="C2887" s="2" t="s">
        <v>2218</v>
      </c>
      <c r="D2887" s="3">
        <v>45611.245625000003</v>
      </c>
      <c r="E2887" s="2" t="s">
        <v>2244</v>
      </c>
    </row>
    <row r="2888" spans="1:5" ht="98" x14ac:dyDescent="0.2">
      <c r="A2888" s="2" t="s">
        <v>1624</v>
      </c>
      <c r="B2888" s="2" t="str">
        <f>HYPERLINK("https://www.modbee.com/news/nation-world/national/article295601174.html")</f>
        <v>https://www.modbee.com/news/nation-world/national/article295601174.html</v>
      </c>
      <c r="C2888" s="2" t="s">
        <v>2247</v>
      </c>
      <c r="D2888" s="3">
        <v>45611.245625000003</v>
      </c>
      <c r="E2888" s="2" t="s">
        <v>1823</v>
      </c>
    </row>
    <row r="2889" spans="1:5" ht="98" x14ac:dyDescent="0.2">
      <c r="A2889" s="2" t="s">
        <v>1624</v>
      </c>
      <c r="B2889" s="2" t="str">
        <f>HYPERLINK("https://www.theolympian.com/news/nation-world/national/article295601174.html")</f>
        <v>https://www.theolympian.com/news/nation-world/national/article295601174.html</v>
      </c>
      <c r="C2889" s="2" t="s">
        <v>2262</v>
      </c>
      <c r="D2889" s="3">
        <v>45611.245625000003</v>
      </c>
      <c r="E2889" s="2" t="s">
        <v>1823</v>
      </c>
    </row>
    <row r="2890" spans="1:5" ht="98" x14ac:dyDescent="0.2">
      <c r="A2890" s="2" t="s">
        <v>1624</v>
      </c>
      <c r="B2890" s="2" t="str">
        <f>HYPERLINK("https://www.tri-cityherald.com/news/nation-world/national/article295601174.html")</f>
        <v>https://www.tri-cityherald.com/news/nation-world/national/article295601174.html</v>
      </c>
      <c r="C2890" s="2" t="s">
        <v>2393</v>
      </c>
      <c r="D2890" s="3">
        <v>45611.245625000003</v>
      </c>
      <c r="E2890" s="2" t="s">
        <v>1823</v>
      </c>
    </row>
    <row r="2891" spans="1:5" ht="98" x14ac:dyDescent="0.2">
      <c r="A2891" s="2" t="s">
        <v>1624</v>
      </c>
      <c r="B2891" s="2" t="str">
        <f>HYPERLINK("https://www.bellinghamherald.com/news/nation-world/national/article295601174.html")</f>
        <v>https://www.bellinghamherald.com/news/nation-world/national/article295601174.html</v>
      </c>
      <c r="C2891" s="2" t="s">
        <v>2439</v>
      </c>
      <c r="D2891" s="3">
        <v>45611.245625000003</v>
      </c>
      <c r="E2891" s="2" t="s">
        <v>1823</v>
      </c>
    </row>
    <row r="2892" spans="1:5" ht="98" x14ac:dyDescent="0.2">
      <c r="A2892" s="2" t="s">
        <v>1624</v>
      </c>
      <c r="B2892" s="2" t="str">
        <f>HYPERLINK("https://www.sanluisobispo.com/news/nation-world/national/article295601174.html")</f>
        <v>https://www.sanluisobispo.com/news/nation-world/national/article295601174.html</v>
      </c>
      <c r="C2892" s="2" t="s">
        <v>2451</v>
      </c>
      <c r="D2892" s="3">
        <v>45611.245625000003</v>
      </c>
      <c r="E2892" s="2" t="s">
        <v>1823</v>
      </c>
    </row>
    <row r="2893" spans="1:5" ht="98" x14ac:dyDescent="0.2">
      <c r="A2893" s="2" t="s">
        <v>1624</v>
      </c>
      <c r="B2893" s="2" t="str">
        <f>HYPERLINK("https://www.kansas.com/news/nation-world/national/article295601174.html")</f>
        <v>https://www.kansas.com/news/nation-world/national/article295601174.html</v>
      </c>
      <c r="C2893" s="2" t="s">
        <v>2561</v>
      </c>
      <c r="D2893" s="3">
        <v>45611.245625000003</v>
      </c>
      <c r="E2893" s="2" t="s">
        <v>1823</v>
      </c>
    </row>
    <row r="2894" spans="1:5" ht="98" x14ac:dyDescent="0.2">
      <c r="A2894" s="2" t="s">
        <v>1624</v>
      </c>
      <c r="B2894" s="2" t="str">
        <f>HYPERLINK("https://www.thenewstribune.com/news/nation-world/national/article295601174.html")</f>
        <v>https://www.thenewstribune.com/news/nation-world/national/article295601174.html</v>
      </c>
      <c r="C2894" s="2" t="s">
        <v>2645</v>
      </c>
      <c r="D2894" s="3">
        <v>45611.245625000003</v>
      </c>
      <c r="E2894" s="2" t="s">
        <v>1823</v>
      </c>
    </row>
    <row r="2895" spans="1:5" ht="98" x14ac:dyDescent="0.2">
      <c r="A2895" s="2" t="s">
        <v>1624</v>
      </c>
      <c r="B2895" s="2" t="str">
        <f>HYPERLINK("https://www.idahostatesman.com/news/nation-world/national/article295601174.html")</f>
        <v>https://www.idahostatesman.com/news/nation-world/national/article295601174.html</v>
      </c>
      <c r="C2895" s="2" t="s">
        <v>2707</v>
      </c>
      <c r="D2895" s="3">
        <v>45611.245625000003</v>
      </c>
      <c r="E2895" s="2" t="s">
        <v>1823</v>
      </c>
    </row>
    <row r="2896" spans="1:5" ht="98" x14ac:dyDescent="0.2">
      <c r="A2896" s="2" t="s">
        <v>1624</v>
      </c>
      <c r="B2896" s="2" t="str">
        <f>HYPERLINK("https://www.star-telegram.com/news/nation-world/national/article295601174.html")</f>
        <v>https://www.star-telegram.com/news/nation-world/national/article295601174.html</v>
      </c>
      <c r="C2896" s="2" t="s">
        <v>2878</v>
      </c>
      <c r="D2896" s="3">
        <v>45611.245625000003</v>
      </c>
      <c r="E2896" s="2" t="s">
        <v>1823</v>
      </c>
    </row>
    <row r="2897" spans="1:5" ht="98" x14ac:dyDescent="0.2">
      <c r="A2897" s="2" t="s">
        <v>1624</v>
      </c>
      <c r="B2897" s="2" t="str">
        <f>HYPERLINK("https://www.miamiherald.com/news/nation-world/national/article295601174.html")</f>
        <v>https://www.miamiherald.com/news/nation-world/national/article295601174.html</v>
      </c>
      <c r="C2897" s="2" t="s">
        <v>3376</v>
      </c>
      <c r="D2897" s="3">
        <v>45611.245625000003</v>
      </c>
      <c r="E2897" s="2" t="s">
        <v>1823</v>
      </c>
    </row>
    <row r="2898" spans="1:5" ht="154" x14ac:dyDescent="0.2">
      <c r="A2898" s="2" t="s">
        <v>3665</v>
      </c>
      <c r="B2898" s="2" t="str">
        <f>HYPERLINK("https://www.newsweek.com/rkf-jr-health-secretary-criticism-donald-trump-1986242")</f>
        <v>https://www.newsweek.com/rkf-jr-health-secretary-criticism-donald-trump-1986242</v>
      </c>
      <c r="C2898" s="2" t="s">
        <v>3663</v>
      </c>
      <c r="D2898" s="3">
        <v>45611.248032407413</v>
      </c>
      <c r="E2898" s="2" t="s">
        <v>3666</v>
      </c>
    </row>
    <row r="2899" spans="1:5" ht="98" x14ac:dyDescent="0.2">
      <c r="A2899" s="2" t="s">
        <v>1624</v>
      </c>
      <c r="B2899" s="2" t="str">
        <f>HYPERLINK("https://www.fresnobee.com/news/nation-world/national/article295601174.html")</f>
        <v>https://www.fresnobee.com/news/nation-world/national/article295601174.html</v>
      </c>
      <c r="C2899" s="2" t="s">
        <v>2447</v>
      </c>
      <c r="D2899" s="3">
        <v>45611.278194444443</v>
      </c>
      <c r="E2899" s="2" t="s">
        <v>1823</v>
      </c>
    </row>
    <row r="2900" spans="1:5" ht="112" x14ac:dyDescent="0.2">
      <c r="A2900" s="2" t="s">
        <v>2135</v>
      </c>
      <c r="B2900" s="2" t="str">
        <f>HYPERLINK("https://www.ledger-enquirer.com/news/nation-world/national/article295601174.html")</f>
        <v>https://www.ledger-enquirer.com/news/nation-world/national/article295601174.html</v>
      </c>
      <c r="C2900" s="2" t="s">
        <v>2153</v>
      </c>
      <c r="D2900" s="3">
        <v>45611.278344907398</v>
      </c>
      <c r="E2900" s="2" t="s">
        <v>2136</v>
      </c>
    </row>
    <row r="2901" spans="1:5" ht="112" x14ac:dyDescent="0.2">
      <c r="A2901" s="2" t="s">
        <v>2135</v>
      </c>
      <c r="B2901" s="2" t="str">
        <f>HYPERLINK("https://www.centredaily.com/news/nation-world/national/article295601174.html")</f>
        <v>https://www.centredaily.com/news/nation-world/national/article295601174.html</v>
      </c>
      <c r="C2901" s="2" t="s">
        <v>2248</v>
      </c>
      <c r="D2901" s="3">
        <v>45611.278344907398</v>
      </c>
      <c r="E2901" s="2" t="s">
        <v>2136</v>
      </c>
    </row>
    <row r="2902" spans="1:5" ht="98" x14ac:dyDescent="0.2">
      <c r="A2902" s="2" t="s">
        <v>1624</v>
      </c>
      <c r="B2902" s="2" t="str">
        <f>HYPERLINK("https://www.kentucky.com/news/nation-world/national/article295601174.html")</f>
        <v>https://www.kentucky.com/news/nation-world/national/article295601174.html</v>
      </c>
      <c r="C2902" s="2" t="s">
        <v>2724</v>
      </c>
      <c r="D2902" s="3">
        <v>45611.278553240743</v>
      </c>
      <c r="E2902" s="2" t="s">
        <v>1823</v>
      </c>
    </row>
    <row r="2903" spans="1:5" ht="112" x14ac:dyDescent="0.2">
      <c r="A2903" s="2" t="s">
        <v>2135</v>
      </c>
      <c r="B2903" s="2" t="str">
        <f>HYPERLINK("https://www.heraldonline.com/news/nation-world/national/article295601174.html")</f>
        <v>https://www.heraldonline.com/news/nation-world/national/article295601174.html</v>
      </c>
      <c r="C2903" s="2" t="s">
        <v>1996</v>
      </c>
      <c r="D2903" s="3">
        <v>45611.280497685177</v>
      </c>
      <c r="E2903" s="2" t="s">
        <v>2136</v>
      </c>
    </row>
    <row r="2904" spans="1:5" ht="112" x14ac:dyDescent="0.2">
      <c r="A2904" s="2" t="s">
        <v>2135</v>
      </c>
      <c r="B2904" s="2" t="str">
        <f>HYPERLINK("https://www.mercedsunstar.com/news/nation-world/national/article295601174.html")</f>
        <v>https://www.mercedsunstar.com/news/nation-world/national/article295601174.html</v>
      </c>
      <c r="C2904" s="2" t="s">
        <v>2396</v>
      </c>
      <c r="D2904" s="3">
        <v>45611.280740740738</v>
      </c>
      <c r="E2904" s="2" t="s">
        <v>2397</v>
      </c>
    </row>
    <row r="2905" spans="1:5" ht="112" x14ac:dyDescent="0.2">
      <c r="A2905" s="2" t="s">
        <v>2135</v>
      </c>
      <c r="B2905" s="2" t="str">
        <f>HYPERLINK("https://www.sunherald.com/news/nation-world/national/article295601174.html")</f>
        <v>https://www.sunherald.com/news/nation-world/national/article295601174.html</v>
      </c>
      <c r="C2905" s="2" t="s">
        <v>2440</v>
      </c>
      <c r="D2905" s="3">
        <v>45611.280763888892</v>
      </c>
      <c r="E2905" s="2" t="s">
        <v>2407</v>
      </c>
    </row>
    <row r="2906" spans="1:5" ht="112" x14ac:dyDescent="0.2">
      <c r="A2906" s="2" t="s">
        <v>2135</v>
      </c>
      <c r="B2906" s="2" t="str">
        <f>HYPERLINK("https://www.charlotteobserver.com/news/nation-world/national/article295601174.html")</f>
        <v>https://www.charlotteobserver.com/news/nation-world/national/article295601174.html</v>
      </c>
      <c r="C2906" s="2" t="s">
        <v>2993</v>
      </c>
      <c r="D2906" s="3">
        <v>45611.281793981478</v>
      </c>
      <c r="E2906" s="2" t="s">
        <v>2136</v>
      </c>
    </row>
    <row r="2907" spans="1:5" ht="112" x14ac:dyDescent="0.2">
      <c r="A2907" s="2" t="s">
        <v>2135</v>
      </c>
      <c r="B2907" s="2" t="str">
        <f>HYPERLINK("https://www.newsobserver.com/news/nation-world/national/article295601174.html")</f>
        <v>https://www.newsobserver.com/news/nation-world/national/article295601174.html</v>
      </c>
      <c r="C2907" s="2" t="s">
        <v>3049</v>
      </c>
      <c r="D2907" s="3">
        <v>45611.281956018523</v>
      </c>
      <c r="E2907" s="2" t="s">
        <v>2136</v>
      </c>
    </row>
    <row r="2908" spans="1:5" ht="112" x14ac:dyDescent="0.2">
      <c r="A2908" s="2" t="s">
        <v>2135</v>
      </c>
      <c r="B2908" s="2" t="str">
        <f>HYPERLINK("https://www.bnd.com/news/nation-world/national/article295601174.html")</f>
        <v>https://www.bnd.com/news/nation-world/national/article295601174.html</v>
      </c>
      <c r="C2908" s="2" t="s">
        <v>2406</v>
      </c>
      <c r="D2908" s="3">
        <v>45611.282141203701</v>
      </c>
      <c r="E2908" s="2" t="s">
        <v>2407</v>
      </c>
    </row>
    <row r="2909" spans="1:5" ht="98" x14ac:dyDescent="0.2">
      <c r="A2909" s="2" t="s">
        <v>1624</v>
      </c>
      <c r="B2909" s="2" t="str">
        <f>HYPERLINK("https://www.myrtlebeachonline.com/news/nation-world/national/article295601174.html")</f>
        <v>https://www.myrtlebeachonline.com/news/nation-world/national/article295601174.html</v>
      </c>
      <c r="C2909" s="2" t="s">
        <v>2379</v>
      </c>
      <c r="D2909" s="3">
        <v>45611.282187500001</v>
      </c>
      <c r="E2909" s="2" t="s">
        <v>1823</v>
      </c>
    </row>
    <row r="2910" spans="1:5" ht="112" x14ac:dyDescent="0.2">
      <c r="A2910" s="2" t="s">
        <v>1624</v>
      </c>
      <c r="B2910" s="2" t="str">
        <f>HYPERLINK("https://www.macon.com/news/nation-world/national/article295601174.html")</f>
        <v>https://www.macon.com/news/nation-world/national/article295601174.html</v>
      </c>
      <c r="C2910" s="2" t="s">
        <v>2289</v>
      </c>
      <c r="D2910" s="3">
        <v>45611.283842592587</v>
      </c>
      <c r="E2910" s="2" t="s">
        <v>2244</v>
      </c>
    </row>
    <row r="2911" spans="1:5" ht="112" x14ac:dyDescent="0.2">
      <c r="A2911" s="2" t="s">
        <v>2135</v>
      </c>
      <c r="B2911" s="2" t="str">
        <f>HYPERLINK("https://www.kansascity.com/news/nation-world/national/article295601174.html")</f>
        <v>https://www.kansascity.com/news/nation-world/national/article295601174.html</v>
      </c>
      <c r="C2911" s="2" t="s">
        <v>3125</v>
      </c>
      <c r="D2911" s="3">
        <v>45611.287418981483</v>
      </c>
      <c r="E2911" s="2" t="s">
        <v>2407</v>
      </c>
    </row>
    <row r="2912" spans="1:5" ht="98" x14ac:dyDescent="0.2">
      <c r="A2912" s="2" t="s">
        <v>1624</v>
      </c>
      <c r="B2912" s="2" t="str">
        <f>HYPERLINK("https://www.islandpacket.com/news/nation-world/national/article295601174.html")</f>
        <v>https://www.islandpacket.com/news/nation-world/national/article295601174.html</v>
      </c>
      <c r="C2912" s="2" t="s">
        <v>2385</v>
      </c>
      <c r="D2912" s="3">
        <v>45611.287534722222</v>
      </c>
      <c r="E2912" s="2" t="s">
        <v>1823</v>
      </c>
    </row>
    <row r="2913" spans="1:5" ht="98" x14ac:dyDescent="0.2">
      <c r="A2913" s="2" t="s">
        <v>105</v>
      </c>
      <c r="B2913" s="2" t="str">
        <f>HYPERLINK("https://www.aol.com/rfk-jr-list-america-healthy-120048963.html")</f>
        <v>https://www.aol.com/rfk-jr-list-america-healthy-120048963.html</v>
      </c>
      <c r="C2913" s="2" t="s">
        <v>3592</v>
      </c>
      <c r="D2913" s="3">
        <v>45611.292222222219</v>
      </c>
      <c r="E2913" s="2" t="s">
        <v>1986</v>
      </c>
    </row>
    <row r="2914" spans="1:5" ht="98" x14ac:dyDescent="0.2">
      <c r="A2914" s="2" t="s">
        <v>1653</v>
      </c>
      <c r="B2914" s="2" t="str">
        <f>HYPERLINK("https://www.yahoo.com/news/rfk-jr-list-america-healthy-120048251.html")</f>
        <v>https://www.yahoo.com/news/rfk-jr-list-america-healthy-120048251.html</v>
      </c>
      <c r="C2914" s="2" t="s">
        <v>3728</v>
      </c>
      <c r="D2914" s="3">
        <v>45611.292222222219</v>
      </c>
      <c r="E2914" s="2" t="s">
        <v>106</v>
      </c>
    </row>
    <row r="2915" spans="1:5" ht="98" x14ac:dyDescent="0.2">
      <c r="A2915" s="2" t="s">
        <v>3706</v>
      </c>
      <c r="B2915" s="2" t="str">
        <f>HYPERLINK("https://www.cnn.com/2024/11/15/health/rfk-jr-health-issues-stances/index.html")</f>
        <v>https://www.cnn.com/2024/11/15/health/rfk-jr-health-issues-stances/index.html</v>
      </c>
      <c r="C2915" s="2" t="s">
        <v>3705</v>
      </c>
      <c r="D2915" s="3">
        <v>45611.2969212963</v>
      </c>
      <c r="E2915" s="2" t="s">
        <v>106</v>
      </c>
    </row>
    <row r="2916" spans="1:5" ht="98" x14ac:dyDescent="0.2">
      <c r="A2916" s="2" t="s">
        <v>1653</v>
      </c>
      <c r="B2916" s="2" t="str">
        <f>HYPERLINK("https://ktvz.com/health/cnn-health/2024/11/15/rfk-jr-s-to-do-list-to-make-america-healthy-has-health-experts-worried/")</f>
        <v>https://ktvz.com/health/cnn-health/2024/11/15/rfk-jr-s-to-do-list-to-make-america-healthy-has-health-experts-worried/</v>
      </c>
      <c r="C2916" s="2" t="s">
        <v>2747</v>
      </c>
      <c r="D2916" s="3">
        <v>45611.297106481477</v>
      </c>
      <c r="E2916" s="2" t="s">
        <v>106</v>
      </c>
    </row>
    <row r="2917" spans="1:5" ht="98" x14ac:dyDescent="0.2">
      <c r="A2917" s="2" t="s">
        <v>1653</v>
      </c>
      <c r="B2917" s="2" t="str">
        <f>HYPERLINK("https://keyt.com/health/cnn-health/2024/11/15/rfk-jr-s-to-do-list-to-make-america-healthy-has-health-experts-worried/")</f>
        <v>https://keyt.com/health/cnn-health/2024/11/15/rfk-jr-s-to-do-list-to-make-america-healthy-has-health-experts-worried/</v>
      </c>
      <c r="C2917" s="2" t="s">
        <v>2330</v>
      </c>
      <c r="D2917" s="3">
        <v>45611.299525462957</v>
      </c>
      <c r="E2917" s="2" t="s">
        <v>106</v>
      </c>
    </row>
    <row r="2918" spans="1:5" ht="98" x14ac:dyDescent="0.2">
      <c r="A2918" s="2" t="s">
        <v>105</v>
      </c>
      <c r="B2918" s="2" t="str">
        <f>HYPERLINK("https://kesq.com/health/cnn-health/2024/11/15/rfk-jr-s-to-do-list-to-make-america-healthy-has-health-experts-worried/")</f>
        <v>https://kesq.com/health/cnn-health/2024/11/15/rfk-jr-s-to-do-list-to-make-america-healthy-has-health-experts-worried/</v>
      </c>
      <c r="C2918" s="2" t="s">
        <v>2448</v>
      </c>
      <c r="D2918" s="3">
        <v>45611.301122685189</v>
      </c>
      <c r="E2918" s="2" t="s">
        <v>1986</v>
      </c>
    </row>
    <row r="2919" spans="1:5" ht="98" x14ac:dyDescent="0.2">
      <c r="A2919" s="2" t="s">
        <v>1653</v>
      </c>
      <c r="B2919" s="2" t="str">
        <f>HYPERLINK("https://kvia.com/health/cnn-health/2024/11/15/rfk-jr-s-to-do-list-to-make-america-healthy-has-health-experts-worried/")</f>
        <v>https://kvia.com/health/cnn-health/2024/11/15/rfk-jr-s-to-do-list-to-make-america-healthy-has-health-experts-worried/</v>
      </c>
      <c r="C2919" s="2" t="s">
        <v>2358</v>
      </c>
      <c r="D2919" s="3">
        <v>45611.301562499997</v>
      </c>
      <c r="E2919" s="2" t="s">
        <v>106</v>
      </c>
    </row>
    <row r="2920" spans="1:5" ht="98" x14ac:dyDescent="0.2">
      <c r="A2920" s="2" t="s">
        <v>2166</v>
      </c>
      <c r="B2920" s="2" t="str">
        <f>HYPERLINK("https://localnews8.com/health/cnn-health/2024/11/15/rfk-jr-s-to-do-list-to-make-america-healthy-has-health-experts-worried/")</f>
        <v>https://localnews8.com/health/cnn-health/2024/11/15/rfk-jr-s-to-do-list-to-make-america-healthy-has-health-experts-worried/</v>
      </c>
      <c r="C2920" s="2" t="s">
        <v>2164</v>
      </c>
      <c r="D2920" s="3">
        <v>45611.302268518521</v>
      </c>
      <c r="E2920" s="2" t="s">
        <v>106</v>
      </c>
    </row>
    <row r="2921" spans="1:5" ht="98" x14ac:dyDescent="0.2">
      <c r="A2921" s="2" t="s">
        <v>1653</v>
      </c>
      <c r="B2921" s="2" t="str">
        <f>HYPERLINK("https://abc17news.com/cnn-health/2024/11/15/rfk-jr-s-to-do-list-to-make-america-healthy-has-health-experts-worried/")</f>
        <v>https://abc17news.com/cnn-health/2024/11/15/rfk-jr-s-to-do-list-to-make-america-healthy-has-health-experts-worried/</v>
      </c>
      <c r="C2921" s="2" t="s">
        <v>2484</v>
      </c>
      <c r="D2921" s="3">
        <v>45611.303796296299</v>
      </c>
      <c r="E2921" s="2" t="s">
        <v>106</v>
      </c>
    </row>
    <row r="2922" spans="1:5" ht="98" x14ac:dyDescent="0.2">
      <c r="A2922" s="2" t="s">
        <v>1653</v>
      </c>
      <c r="B2922" s="2" t="str">
        <f>HYPERLINK("https://kion546.com/health/cnn-health/2024/11/15/rfk-jr-s-to-do-list-to-make-america-healthy-has-health-experts-worried/")</f>
        <v>https://kion546.com/health/cnn-health/2024/11/15/rfk-jr-s-to-do-list-to-make-america-healthy-has-health-experts-worried/</v>
      </c>
      <c r="C2922" s="2" t="s">
        <v>1955</v>
      </c>
      <c r="D2922" s="3">
        <v>45611.310057870367</v>
      </c>
      <c r="E2922" s="2" t="s">
        <v>106</v>
      </c>
    </row>
    <row r="2923" spans="1:5" ht="98" x14ac:dyDescent="0.2">
      <c r="A2923" s="2" t="s">
        <v>1653</v>
      </c>
      <c r="B2923" s="2" t="str">
        <f>HYPERLINK("https://krdo.com/news/2024/11/15/rfk-jr-s-to-do-list-to-make-america-healthy-has-health-experts-worried/")</f>
        <v>https://krdo.com/news/2024/11/15/rfk-jr-s-to-do-list-to-make-america-healthy-has-health-experts-worried/</v>
      </c>
      <c r="C2923" s="2" t="s">
        <v>2558</v>
      </c>
      <c r="D2923" s="3">
        <v>45611.315405092602</v>
      </c>
      <c r="E2923" s="2" t="s">
        <v>106</v>
      </c>
    </row>
    <row r="2924" spans="1:5" ht="98" x14ac:dyDescent="0.2">
      <c r="A2924" s="2" t="s">
        <v>1653</v>
      </c>
      <c r="B2924" s="2" t="str">
        <f>HYPERLINK("https://www.crossroadstoday.com/news/health/rfk-jr-s-to-do-list-to-make-america-healthy-has-health-experts-worried/article_af79dc70-9cd0-5d3d-8bc5-fcaffcda20b2.html")</f>
        <v>https://www.crossroadstoday.com/news/health/rfk-jr-s-to-do-list-to-make-america-healthy-has-health-experts-worried/article_af79dc70-9cd0-5d3d-8bc5-fcaffcda20b2.html</v>
      </c>
      <c r="C2924" s="2" t="s">
        <v>1821</v>
      </c>
      <c r="D2924" s="3">
        <v>45611.317395833343</v>
      </c>
      <c r="E2924" s="2" t="s">
        <v>106</v>
      </c>
    </row>
    <row r="2925" spans="1:5" ht="98" x14ac:dyDescent="0.2">
      <c r="A2925" s="2" t="s">
        <v>1653</v>
      </c>
      <c r="B2925" s="2" t="str">
        <f>HYPERLINK("https://www.wsiltv.com/news/health/rfk-jr-s-to-do-list-to-make-america-healthy-has-health-experts-worried/article_c6c5c0df-f8bf-51b0-81c1-4861e51a488b.html")</f>
        <v>https://www.wsiltv.com/news/health/rfk-jr-s-to-do-list-to-make-america-healthy-has-health-experts-worried/article_c6c5c0df-f8bf-51b0-81c1-4861e51a488b.html</v>
      </c>
      <c r="C2925" s="2" t="s">
        <v>2232</v>
      </c>
      <c r="D2925" s="3">
        <v>45611.317858796298</v>
      </c>
      <c r="E2925" s="2" t="s">
        <v>106</v>
      </c>
    </row>
    <row r="2926" spans="1:5" ht="98" x14ac:dyDescent="0.2">
      <c r="A2926" s="2" t="s">
        <v>1653</v>
      </c>
      <c r="B2926" s="2" t="str">
        <f>HYPERLINK("https://www.wevv.com/news/health/rfk-jr-s-to-do-list-to-make-america-healthy-has-health-experts-worried/article_6cdc7f7a-7888-5f39-a660-44dcc6c3f7bd.html")</f>
        <v>https://www.wevv.com/news/health/rfk-jr-s-to-do-list-to-make-america-healthy-has-health-experts-worried/article_6cdc7f7a-7888-5f39-a660-44dcc6c3f7bd.html</v>
      </c>
      <c r="C2926" s="2" t="s">
        <v>1926</v>
      </c>
      <c r="D2926" s="3">
        <v>45611.318761574083</v>
      </c>
      <c r="E2926" s="2" t="s">
        <v>106</v>
      </c>
    </row>
    <row r="2927" spans="1:5" ht="98" x14ac:dyDescent="0.2">
      <c r="A2927" s="2" t="s">
        <v>1653</v>
      </c>
      <c r="B2927" s="2" t="str">
        <f>HYPERLINK("https://www.albanyherald.com/features/health/rfk-jr-s-to-do-list-to-make-america-healthy-has-health-experts-worried/article_6ed49716-249e-5701-97d1-c2bee4282403.html")</f>
        <v>https://www.albanyherald.com/features/health/rfk-jr-s-to-do-list-to-make-america-healthy-has-health-experts-worried/article_6ed49716-249e-5701-97d1-c2bee4282403.html</v>
      </c>
      <c r="C2927" s="2" t="s">
        <v>1936</v>
      </c>
      <c r="D2927" s="3">
        <v>45611.32199074074</v>
      </c>
      <c r="E2927" s="2" t="s">
        <v>106</v>
      </c>
    </row>
    <row r="2928" spans="1:5" ht="98" x14ac:dyDescent="0.2">
      <c r="A2928" s="2" t="s">
        <v>2166</v>
      </c>
      <c r="B2928" s="2" t="str">
        <f>HYPERLINK("https://localnews8.com/news/2024/11/15/rfk-jr-s-to-do-list-to-make-america-healthy-has-health-experts-worried-2/")</f>
        <v>https://localnews8.com/news/2024/11/15/rfk-jr-s-to-do-list-to-make-america-healthy-has-health-experts-worried-2/</v>
      </c>
      <c r="C2928" s="2" t="s">
        <v>2164</v>
      </c>
      <c r="D2928" s="3">
        <v>45611.339375000003</v>
      </c>
      <c r="E2928" s="2" t="s">
        <v>106</v>
      </c>
    </row>
    <row r="2929" spans="1:5" ht="98" x14ac:dyDescent="0.2">
      <c r="A2929" s="2" t="s">
        <v>105</v>
      </c>
      <c r="B2929" s="2" t="str">
        <f>HYPERLINK("https://www.wthitv.com/news/rfk-jr-s-to-do-list-to-make-america-healthy-has-health-experts-worried/article_f6d7abdf-eab7-5570-ba62-2bca7605ca0b.html")</f>
        <v>https://www.wthitv.com/news/rfk-jr-s-to-do-list-to-make-america-healthy-has-health-experts-worried/article_f6d7abdf-eab7-5570-ba62-2bca7605ca0b.html</v>
      </c>
      <c r="C2929" s="2" t="s">
        <v>2039</v>
      </c>
      <c r="D2929" s="3">
        <v>45611.351099537038</v>
      </c>
      <c r="E2929" s="2" t="s">
        <v>1986</v>
      </c>
    </row>
    <row r="2930" spans="1:5" ht="98" x14ac:dyDescent="0.2">
      <c r="A2930" s="2" t="s">
        <v>105</v>
      </c>
      <c r="B2930" s="2" t="str">
        <f>HYPERLINK("https://www.wfft.com/news/health/rfk-jr-s-to-do-list-to-make-america-healthy-has-health-experts-worried/article_a2bbda2b-8dfb-5bec-9e39-c8aede610121.html")</f>
        <v>https://www.wfft.com/news/health/rfk-jr-s-to-do-list-to-make-america-healthy-has-health-experts-worried/article_a2bbda2b-8dfb-5bec-9e39-c8aede610121.html</v>
      </c>
      <c r="C2930" s="2" t="s">
        <v>1985</v>
      </c>
      <c r="D2930" s="3">
        <v>45611.358495370368</v>
      </c>
      <c r="E2930" s="2" t="s">
        <v>1986</v>
      </c>
    </row>
    <row r="2931" spans="1:5" ht="98" x14ac:dyDescent="0.2">
      <c r="A2931" s="2" t="s">
        <v>1653</v>
      </c>
      <c r="B2931" s="2" t="str">
        <f>HYPERLINK("https://www.kxly.com/news/health/rfk-jr-s-to-do-list-to-make-america-healthy-has-health-experts-worried/article_3cac08dc-4e2a-5eea-9747-819ea3e8a4c0.html")</f>
        <v>https://www.kxly.com/news/health/rfk-jr-s-to-do-list-to-make-america-healthy-has-health-experts-worried/article_3cac08dc-4e2a-5eea-9747-819ea3e8a4c0.html</v>
      </c>
      <c r="C2931" s="2" t="s">
        <v>2299</v>
      </c>
      <c r="D2931" s="3">
        <v>45611.359699074077</v>
      </c>
      <c r="E2931" s="2" t="s">
        <v>106</v>
      </c>
    </row>
    <row r="2932" spans="1:5" ht="98" x14ac:dyDescent="0.2">
      <c r="A2932" s="2" t="s">
        <v>1653</v>
      </c>
      <c r="B2932" s="2" t="str">
        <f>HYPERLINK("https://keyt.com/health/cnn-health/2024/11/15/rfk-jr-s-to-do-list-to-make-america-healthy-has-health-experts-worried-2/")</f>
        <v>https://keyt.com/health/cnn-health/2024/11/15/rfk-jr-s-to-do-list-to-make-america-healthy-has-health-experts-worried-2/</v>
      </c>
      <c r="C2932" s="2" t="s">
        <v>2330</v>
      </c>
      <c r="D2932" s="3">
        <v>45611.360555555562</v>
      </c>
      <c r="E2932" s="2" t="s">
        <v>106</v>
      </c>
    </row>
    <row r="2933" spans="1:5" ht="98" x14ac:dyDescent="0.2">
      <c r="A2933" s="2" t="s">
        <v>1653</v>
      </c>
      <c r="B2933" s="2" t="str">
        <f>HYPERLINK("https://www.applevalleynewsnow.com/news/health/rfk-jr-s-to-do-list-to-make-america-healthy-has-health-experts-worried/article_f1bc312c-2763-51a1-96d9-f05d3e7e1245.html")</f>
        <v>https://www.applevalleynewsnow.com/news/health/rfk-jr-s-to-do-list-to-make-america-healthy-has-health-experts-worried/article_f1bc312c-2763-51a1-96d9-f05d3e7e1245.html</v>
      </c>
      <c r="C2933" s="2" t="s">
        <v>1690</v>
      </c>
      <c r="D2933" s="3">
        <v>45611.360729166663</v>
      </c>
      <c r="E2933" s="2" t="s">
        <v>106</v>
      </c>
    </row>
    <row r="2934" spans="1:5" ht="98" x14ac:dyDescent="0.2">
      <c r="A2934" s="2" t="s">
        <v>1653</v>
      </c>
      <c r="B2934" s="2" t="str">
        <f>HYPERLINK("https://ktvz.com/health/cnn-health/2024/11/15/rfk-jr-s-to-do-list-to-make-america-healthy-has-health-experts-worried-2/")</f>
        <v>https://ktvz.com/health/cnn-health/2024/11/15/rfk-jr-s-to-do-list-to-make-america-healthy-has-health-experts-worried-2/</v>
      </c>
      <c r="C2934" s="2" t="s">
        <v>2747</v>
      </c>
      <c r="D2934" s="3">
        <v>45611.362013888887</v>
      </c>
      <c r="E2934" s="2" t="s">
        <v>106</v>
      </c>
    </row>
    <row r="2935" spans="1:5" ht="98" x14ac:dyDescent="0.2">
      <c r="A2935" s="2" t="s">
        <v>1653</v>
      </c>
      <c r="B2935" s="2" t="str">
        <f>HYPERLINK("https://www.waaytv.com/news/health/rfk-jr-s-to-do-list-to-make-america-healthy-has-health-experts-worried/article_21b59fb1-ea9f-5fb9-ac4d-a12a19cb6dc2.html")</f>
        <v>https://www.waaytv.com/news/health/rfk-jr-s-to-do-list-to-make-america-healthy-has-health-experts-worried/article_21b59fb1-ea9f-5fb9-ac4d-a12a19cb6dc2.html</v>
      </c>
      <c r="C2935" s="2" t="s">
        <v>2278</v>
      </c>
      <c r="D2935" s="3">
        <v>45611.362141203703</v>
      </c>
      <c r="E2935" s="2" t="s">
        <v>106</v>
      </c>
    </row>
    <row r="2936" spans="1:5" ht="98" x14ac:dyDescent="0.2">
      <c r="A2936" s="2" t="s">
        <v>1653</v>
      </c>
      <c r="B2936" s="2" t="str">
        <f>HYPERLINK("https://www.channel3000.com/news/national-and-world-news/rfk-jr-s-to-do-list-to-make-america-healthy-has-health-experts-worried/article_73d007c4-57ce-5558-a4e5-f0584d1c1b2d.html")</f>
        <v>https://www.channel3000.com/news/national-and-world-news/rfk-jr-s-to-do-list-to-make-america-healthy-has-health-experts-worried/article_73d007c4-57ce-5558-a4e5-f0584d1c1b2d.html</v>
      </c>
      <c r="C2936" s="2" t="s">
        <v>2760</v>
      </c>
      <c r="D2936" s="3">
        <v>45611.36346064815</v>
      </c>
      <c r="E2936" s="2" t="s">
        <v>106</v>
      </c>
    </row>
    <row r="2937" spans="1:5" ht="98" x14ac:dyDescent="0.2">
      <c r="A2937" s="2" t="s">
        <v>1653</v>
      </c>
      <c r="B2937" s="2" t="str">
        <f>HYPERLINK("https://krdo.com/health/cnn-health/2024/11/15/rfk-jr-s-to-do-list-to-make-america-healthy-has-health-experts-worried-2/")</f>
        <v>https://krdo.com/health/cnn-health/2024/11/15/rfk-jr-s-to-do-list-to-make-america-healthy-has-health-experts-worried-2/</v>
      </c>
      <c r="C2937" s="2" t="s">
        <v>2558</v>
      </c>
      <c r="D2937" s="3">
        <v>45611.363518518519</v>
      </c>
      <c r="E2937" s="2" t="s">
        <v>106</v>
      </c>
    </row>
    <row r="2938" spans="1:5" ht="98" x14ac:dyDescent="0.2">
      <c r="A2938" s="2" t="s">
        <v>1653</v>
      </c>
      <c r="B2938" s="2" t="str">
        <f>HYPERLINK("https://kvia.com/health/cnn-health/2024/11/15/rfk-jr-s-to-do-list-to-make-america-healthy-has-health-experts-worried-2/")</f>
        <v>https://kvia.com/health/cnn-health/2024/11/15/rfk-jr-s-to-do-list-to-make-america-healthy-has-health-experts-worried-2/</v>
      </c>
      <c r="C2938" s="2" t="s">
        <v>2358</v>
      </c>
      <c r="D2938" s="3">
        <v>45611.364733796298</v>
      </c>
      <c r="E2938" s="2" t="s">
        <v>106</v>
      </c>
    </row>
    <row r="2939" spans="1:5" ht="98" x14ac:dyDescent="0.2">
      <c r="A2939" s="2" t="s">
        <v>1653</v>
      </c>
      <c r="B2939" s="2" t="str">
        <f>HYPERLINK("https://autos.yahoo.com/news/rfk-jr-list-america-healthy-120048251.html")</f>
        <v>https://autos.yahoo.com/news/rfk-jr-list-america-healthy-120048251.html</v>
      </c>
      <c r="C2939" s="2" t="s">
        <v>2873</v>
      </c>
      <c r="D2939" s="3">
        <v>45611.375509259262</v>
      </c>
      <c r="E2939" s="2" t="s">
        <v>106</v>
      </c>
    </row>
    <row r="2940" spans="1:5" ht="98" x14ac:dyDescent="0.2">
      <c r="A2940" s="2" t="s">
        <v>105</v>
      </c>
      <c r="B2940" s="2" t="str">
        <f>HYPERLINK("https://www.aol.com/news/rfk-jr-list-america-healthy-120048963.html")</f>
        <v>https://www.aol.com/news/rfk-jr-list-america-healthy-120048963.html</v>
      </c>
      <c r="C2940" s="2" t="s">
        <v>3592</v>
      </c>
      <c r="D2940" s="3">
        <v>45611.375509259262</v>
      </c>
      <c r="E2940" s="2" t="s">
        <v>1986</v>
      </c>
    </row>
    <row r="2941" spans="1:5" ht="98" x14ac:dyDescent="0.2">
      <c r="A2941" s="2" t="s">
        <v>1653</v>
      </c>
      <c r="B2941" s="2" t="str">
        <f>HYPERLINK("https://www.kadn.com/news/health/rfk-jr-s-to-do-list-to-make-america-healthy-has-health-experts-worried/article_3b499752-b804-50b1-9ae1-30ce9fbc36ef.html")</f>
        <v>https://www.kadn.com/news/health/rfk-jr-s-to-do-list-to-make-america-healthy-has-health-experts-worried/article_3b499752-b804-50b1-9ae1-30ce9fbc36ef.html</v>
      </c>
      <c r="C2941" s="2" t="s">
        <v>1886</v>
      </c>
      <c r="D2941" s="3">
        <v>45611.376319444447</v>
      </c>
      <c r="E2941" s="2" t="s">
        <v>106</v>
      </c>
    </row>
    <row r="2942" spans="1:5" ht="98" x14ac:dyDescent="0.2">
      <c r="A2942" s="2" t="s">
        <v>1653</v>
      </c>
      <c r="B2942" s="2" t="str">
        <f>HYPERLINK("https://news.lee.net/partners/cnn/rfk-jr-s-to-do-list-to-make-america-healthy-has-health-experts-worried/article_fb40bc27-f0f7-55fb-9ffe-ce362e9dfc99.html")</f>
        <v>https://news.lee.net/partners/cnn/rfk-jr-s-to-do-list-to-make-america-healthy-has-health-experts-worried/article_fb40bc27-f0f7-55fb-9ffe-ce362e9dfc99.html</v>
      </c>
      <c r="C2942" s="2" t="s">
        <v>1651</v>
      </c>
      <c r="D2942" s="3">
        <v>45611.382395833331</v>
      </c>
      <c r="E2942" s="2" t="s">
        <v>106</v>
      </c>
    </row>
    <row r="2943" spans="1:5" ht="98" x14ac:dyDescent="0.2">
      <c r="A2943" s="2" t="s">
        <v>1653</v>
      </c>
      <c r="B2943" s="2" t="str">
        <f>HYPERLINK("https://kvia.com/cnn-national/2024/11/15/rfk-jr-s-to-do-list-to-make-america-healthy-has-health-experts-worried-3/")</f>
        <v>https://kvia.com/cnn-national/2024/11/15/rfk-jr-s-to-do-list-to-make-america-healthy-has-health-experts-worried-3/</v>
      </c>
      <c r="C2943" s="2" t="s">
        <v>2358</v>
      </c>
      <c r="D2943" s="3">
        <v>45611.384340277778</v>
      </c>
      <c r="E2943" s="2" t="s">
        <v>1026</v>
      </c>
    </row>
    <row r="2944" spans="1:5" ht="98" x14ac:dyDescent="0.2">
      <c r="A2944" s="2" t="s">
        <v>1835</v>
      </c>
      <c r="B2944" s="2" t="str">
        <f>HYPERLINK("https://news.dayfr.com/aujourd/3937054.html")</f>
        <v>https://news.dayfr.com/aujourd/3937054.html</v>
      </c>
      <c r="C2944" s="2" t="s">
        <v>1836</v>
      </c>
      <c r="D2944" s="3">
        <v>45611.405902777777</v>
      </c>
      <c r="E2944" s="2" t="s">
        <v>1837</v>
      </c>
    </row>
    <row r="2945" spans="1:5" ht="98" x14ac:dyDescent="0.2">
      <c r="A2945" s="2" t="s">
        <v>677</v>
      </c>
      <c r="B2945" s="2" t="str">
        <f>HYPERLINK("http://www.cjmq.fm/?page=news&amp;feed=3&amp;article=2231320")</f>
        <v>http://www.cjmq.fm/?page=news&amp;feed=3&amp;article=2231320</v>
      </c>
      <c r="C2945" s="2" t="s">
        <v>678</v>
      </c>
      <c r="D2945" s="3">
        <v>45611.427083333343</v>
      </c>
      <c r="E2945" s="2" t="s">
        <v>106</v>
      </c>
    </row>
    <row r="2946" spans="1:5" ht="98" x14ac:dyDescent="0.2">
      <c r="A2946" s="2" t="s">
        <v>105</v>
      </c>
      <c r="B2946" s="2" t="str">
        <f>HYPERLINK("https://www.ctvnews.ca/health/rfk-jr-s-to-do-list-to-make-america-healthy-has-health-experts-worried-1.7111558")</f>
        <v>https://www.ctvnews.ca/health/rfk-jr-s-to-do-list-to-make-america-healthy-has-health-experts-worried-1.7111558</v>
      </c>
      <c r="C2946" s="2" t="s">
        <v>3442</v>
      </c>
      <c r="D2946" s="3">
        <v>45611.433854166673</v>
      </c>
      <c r="E2946" s="2" t="s">
        <v>106</v>
      </c>
    </row>
    <row r="2947" spans="1:5" ht="98" x14ac:dyDescent="0.2">
      <c r="A2947" s="2" t="s">
        <v>1653</v>
      </c>
      <c r="B2947" s="2" t="str">
        <f>HYPERLINK("https://www.wevv.com/news/politics/rfk-jr-s-to-do-list-to-make-america-healthy-has-health-experts-worried/article_6cdc7f7a-7888-5f39-a660-44dcc6c3f7bd.html")</f>
        <v>https://www.wevv.com/news/politics/rfk-jr-s-to-do-list-to-make-america-healthy-has-health-experts-worried/article_6cdc7f7a-7888-5f39-a660-44dcc6c3f7bd.html</v>
      </c>
      <c r="C2947" s="2" t="s">
        <v>1926</v>
      </c>
      <c r="D2947" s="3">
        <v>45611.449525462973</v>
      </c>
      <c r="E2947" s="2" t="s">
        <v>106</v>
      </c>
    </row>
    <row r="2948" spans="1:5" ht="98" x14ac:dyDescent="0.2">
      <c r="A2948" s="2" t="s">
        <v>3964</v>
      </c>
      <c r="B2948" s="2" t="str">
        <f>HYPERLINK("https://seattlemedium.com/trump-rfk-jr-hhs-pick/")</f>
        <v>https://seattlemedium.com/trump-rfk-jr-hhs-pick/</v>
      </c>
      <c r="C2948" s="2" t="s">
        <v>4121</v>
      </c>
      <c r="D2948" s="3">
        <v>45611.472222222219</v>
      </c>
      <c r="E2948" s="2" t="s">
        <v>1026</v>
      </c>
    </row>
    <row r="2949" spans="1:5" ht="98" x14ac:dyDescent="0.2">
      <c r="A2949" s="2" t="s">
        <v>1653</v>
      </c>
      <c r="B2949" s="2" t="str">
        <f>HYPERLINK("https://www.kitv.com/news/national/rfk-jr-s-to-do-list-to-make-america-healthy-has-health-experts-worried/article_f2b9e09e-511e-5fdd-912c-68c5f1fd7ba2.html")</f>
        <v>https://www.kitv.com/news/national/rfk-jr-s-to-do-list-to-make-america-healthy-has-health-experts-worried/article_f2b9e09e-511e-5fdd-912c-68c5f1fd7ba2.html</v>
      </c>
      <c r="C2949" s="2" t="s">
        <v>2533</v>
      </c>
      <c r="D2949" s="3">
        <v>45611.5155787037</v>
      </c>
      <c r="E2949" s="2" t="s">
        <v>106</v>
      </c>
    </row>
    <row r="2950" spans="1:5" ht="98" x14ac:dyDescent="0.2">
      <c r="A2950" s="2" t="s">
        <v>1653</v>
      </c>
      <c r="B2950" s="2" t="str">
        <f>HYPERLINK("https://www.wxow.com/news/rfk-jr-s-to-do-list-to-make-america-healthy-has-health-experts-worried/article_8a7fb56f-5240-5f05-bfe9-eca1d5340cc2.html")</f>
        <v>https://www.wxow.com/news/rfk-jr-s-to-do-list-to-make-america-healthy-has-health-experts-worried/article_8a7fb56f-5240-5f05-bfe9-eca1d5340cc2.html</v>
      </c>
      <c r="C2950" s="2" t="s">
        <v>2107</v>
      </c>
      <c r="D2950" s="3">
        <v>45611.542604166672</v>
      </c>
      <c r="E2950" s="2" t="s">
        <v>106</v>
      </c>
    </row>
    <row r="2951" spans="1:5" ht="98" x14ac:dyDescent="0.2">
      <c r="A2951" s="2" t="s">
        <v>1602</v>
      </c>
      <c r="B2951" s="2" t="str">
        <f>HYPERLINK("https://lado.mx/noticia.php?id=17103590")</f>
        <v>https://lado.mx/noticia.php?id=17103590</v>
      </c>
      <c r="C2951" s="2" t="s">
        <v>1599</v>
      </c>
      <c r="D2951" s="3">
        <v>45611.543912037043</v>
      </c>
      <c r="E2951" s="2" t="s">
        <v>1603</v>
      </c>
    </row>
    <row r="2952" spans="1:5" ht="98" x14ac:dyDescent="0.2">
      <c r="A2952" s="2" t="s">
        <v>3964</v>
      </c>
      <c r="B2952" s="2" t="str">
        <f>HYPERLINK("https://theportlandmedium.com/health/trump-rfk-jr-hhs-pick/")</f>
        <v>https://theportlandmedium.com/health/trump-rfk-jr-hhs-pick/</v>
      </c>
      <c r="C2952" s="2" t="s">
        <v>3965</v>
      </c>
      <c r="D2952" s="3">
        <v>45611.559317129628</v>
      </c>
      <c r="E2952" s="2" t="s">
        <v>1026</v>
      </c>
    </row>
    <row r="2953" spans="1:5" ht="98" x14ac:dyDescent="0.2">
      <c r="A2953" s="2" t="s">
        <v>1249</v>
      </c>
      <c r="B2953" s="2" t="str">
        <f>HYPERLINK("https://cnnespanol.cnn.com/2024/11/15/kennedy-jr-salud-estados-unidos-preocupa-expertos-trax")</f>
        <v>https://cnnespanol.cnn.com/2024/11/15/kennedy-jr-salud-estados-unidos-preocupa-expertos-trax</v>
      </c>
      <c r="C2953" s="2" t="s">
        <v>3509</v>
      </c>
      <c r="D2953" s="3">
        <v>45611.580983796302</v>
      </c>
      <c r="E2953" s="2" t="s">
        <v>661</v>
      </c>
    </row>
    <row r="2954" spans="1:5" ht="98" x14ac:dyDescent="0.2">
      <c r="A2954" s="2" t="s">
        <v>1249</v>
      </c>
      <c r="B2954" s="2" t="str">
        <f>HYPERLINK("https://noticiasya.com/2024/11/15/kennedy-jr-salud-estados-unidos-preocupa-expertos-trax/")</f>
        <v>https://noticiasya.com/2024/11/15/kennedy-jr-salud-estados-unidos-preocupa-expertos-trax/</v>
      </c>
      <c r="C2954" s="2" t="s">
        <v>927</v>
      </c>
      <c r="D2954" s="3">
        <v>45611.589085648149</v>
      </c>
      <c r="E2954" s="2" t="s">
        <v>1250</v>
      </c>
    </row>
    <row r="2955" spans="1:5" ht="98" x14ac:dyDescent="0.2">
      <c r="A2955" s="2" t="s">
        <v>1653</v>
      </c>
      <c r="B2955" s="2" t="str">
        <f>HYPERLINK("https://www.waaytv.com/rfk-jr-s-to-do-list-to-make-america-healthy-has-health-experts-worried/article_88255030-2c7f-55d3-8ae9-c7a3e1a6c5db.html")</f>
        <v>https://www.waaytv.com/rfk-jr-s-to-do-list-to-make-america-healthy-has-health-experts-worried/article_88255030-2c7f-55d3-8ae9-c7a3e1a6c5db.html</v>
      </c>
      <c r="C2955" s="2" t="s">
        <v>2278</v>
      </c>
      <c r="D2955" s="3">
        <v>45611.589247685188</v>
      </c>
      <c r="E2955" s="2" t="s">
        <v>106</v>
      </c>
    </row>
    <row r="2956" spans="1:5" ht="98" x14ac:dyDescent="0.2">
      <c r="A2956" s="2" t="s">
        <v>1249</v>
      </c>
      <c r="B2956" s="2" t="str">
        <f>HYPERLINK("https://keyt.com/latino/cnn-spanish/2024/11/15/el-plan-de-robert-f-kennedy-jr-para-hacer-saludable-a-estados-unidos-preocupa-a-los-expertos-en-salud/")</f>
        <v>https://keyt.com/latino/cnn-spanish/2024/11/15/el-plan-de-robert-f-kennedy-jr-para-hacer-saludable-a-estados-unidos-preocupa-a-los-expertos-en-salud/</v>
      </c>
      <c r="C2956" s="2" t="s">
        <v>2330</v>
      </c>
      <c r="D2956" s="3">
        <v>45611.59034722222</v>
      </c>
      <c r="E2956" s="2" t="s">
        <v>661</v>
      </c>
    </row>
    <row r="2957" spans="1:5" ht="98" x14ac:dyDescent="0.2">
      <c r="A2957" s="2" t="s">
        <v>1249</v>
      </c>
      <c r="B2957" s="2" t="str">
        <f>HYPERLINK("https://kesq.com/kunamundo/noticias-cnn/cnn-spanish/2024/11/15/el-plan-de-robert-f-kennedy-jr-para-hacer-saludable-a-estados-unidos-preocupa-a-los-expertos-en-salud/")</f>
        <v>https://kesq.com/kunamundo/noticias-cnn/cnn-spanish/2024/11/15/el-plan-de-robert-f-kennedy-jr-para-hacer-saludable-a-estados-unidos-preocupa-a-los-expertos-en-salud/</v>
      </c>
      <c r="C2957" s="2" t="s">
        <v>2449</v>
      </c>
      <c r="D2957" s="3">
        <v>45611.590381944443</v>
      </c>
      <c r="E2957" s="2" t="s">
        <v>1603</v>
      </c>
    </row>
    <row r="2958" spans="1:5" ht="98" x14ac:dyDescent="0.2">
      <c r="A2958" s="2" t="s">
        <v>3077</v>
      </c>
      <c r="B2958" s="2" t="str">
        <f>HYPERLINK("https://wtop.com/news/2024/11/el-plan-de-robert-f-kennedy-jr-para-hacer-saludable-a-estados-unidos-preocupa-a-los-expertos-en-salud/")</f>
        <v>https://wtop.com/news/2024/11/el-plan-de-robert-f-kennedy-jr-para-hacer-saludable-a-estados-unidos-preocupa-a-los-expertos-en-salud/</v>
      </c>
      <c r="C2958" s="2" t="s">
        <v>3076</v>
      </c>
      <c r="D2958" s="3">
        <v>45611.590682870366</v>
      </c>
      <c r="E2958" s="2" t="s">
        <v>661</v>
      </c>
    </row>
    <row r="2959" spans="1:5" ht="98" x14ac:dyDescent="0.2">
      <c r="A2959" s="2" t="s">
        <v>1249</v>
      </c>
      <c r="B2959" s="2" t="str">
        <f>HYPERLINK("https://kion546.com/t23/noticias-cnn/cnn-spanish/2024/11/15/el-plan-de-robert-f-kennedy-jr-para-hacer-saludable-a-estados-unidos-preocupa-a-los-expertos-en-salud/")</f>
        <v>https://kion546.com/t23/noticias-cnn/cnn-spanish/2024/11/15/el-plan-de-robert-f-kennedy-jr-para-hacer-saludable-a-estados-unidos-preocupa-a-los-expertos-en-salud/</v>
      </c>
      <c r="C2959" s="2" t="s">
        <v>1953</v>
      </c>
      <c r="D2959" s="3">
        <v>45611.591446759259</v>
      </c>
      <c r="E2959" s="2" t="s">
        <v>661</v>
      </c>
    </row>
    <row r="2960" spans="1:5" ht="98" x14ac:dyDescent="0.2">
      <c r="A2960" s="2" t="s">
        <v>2163</v>
      </c>
      <c r="B2960" s="2" t="str">
        <f>HYPERLINK("https://localnews8.com/cnn-spanish/2024/11/15/el-plan-de-robert-f-kennedy-jr-para-hacer-saludable-a-estados-unidos-preocupa-a-los-expertos-en-salud/")</f>
        <v>https://localnews8.com/cnn-spanish/2024/11/15/el-plan-de-robert-f-kennedy-jr-para-hacer-saludable-a-estados-unidos-preocupa-a-los-expertos-en-salud/</v>
      </c>
      <c r="C2960" s="2" t="s">
        <v>2164</v>
      </c>
      <c r="D2960" s="3">
        <v>45611.593587962961</v>
      </c>
      <c r="E2960" s="2" t="s">
        <v>661</v>
      </c>
    </row>
    <row r="2961" spans="1:5" ht="98" x14ac:dyDescent="0.2">
      <c r="A2961" s="2" t="s">
        <v>1249</v>
      </c>
      <c r="B2961" s="2" t="str">
        <f>HYPERLINK("https://kvia.com/news/noticias/cnn-spanish/2024/11/15/el-plan-de-robert-f-kennedy-jr-para-hacer-saludable-a-estados-unidos-preocupa-a-los-expertos-en-salud/")</f>
        <v>https://kvia.com/news/noticias/cnn-spanish/2024/11/15/el-plan-de-robert-f-kennedy-jr-para-hacer-saludable-a-estados-unidos-preocupa-a-los-expertos-en-salud/</v>
      </c>
      <c r="C2961" s="2" t="s">
        <v>2358</v>
      </c>
      <c r="D2961" s="3">
        <v>45611.594606481478</v>
      </c>
      <c r="E2961" s="2" t="s">
        <v>661</v>
      </c>
    </row>
    <row r="2962" spans="1:5" ht="98" x14ac:dyDescent="0.2">
      <c r="A2962" s="2" t="s">
        <v>1249</v>
      </c>
      <c r="B2962" s="2" t="str">
        <f>HYPERLINK("https://abc17news.com/cnn-spanish/2024/11/15/el-plan-de-robert-f-kennedy-jr-para-hacer-saludable-a-estados-unidos-preocupa-a-los-expertos-en-salud/")</f>
        <v>https://abc17news.com/cnn-spanish/2024/11/15/el-plan-de-robert-f-kennedy-jr-para-hacer-saludable-a-estados-unidos-preocupa-a-los-expertos-en-salud/</v>
      </c>
      <c r="C2962" s="2" t="s">
        <v>2484</v>
      </c>
      <c r="D2962" s="3">
        <v>45611.595856481479</v>
      </c>
      <c r="E2962" s="2" t="s">
        <v>661</v>
      </c>
    </row>
    <row r="2963" spans="1:5" ht="98" x14ac:dyDescent="0.2">
      <c r="A2963" s="2" t="s">
        <v>1249</v>
      </c>
      <c r="B2963" s="2" t="str">
        <f>HYPERLINK("https://krdo.com/news/2024/11/15/el-plan-de-robert-f-kennedy-jr-para-hacer-saludable-a-estados-unidos-preocupa-a-los-expertos-en-salud/")</f>
        <v>https://krdo.com/news/2024/11/15/el-plan-de-robert-f-kennedy-jr-para-hacer-saludable-a-estados-unidos-preocupa-a-los-expertos-en-salud/</v>
      </c>
      <c r="C2963" s="2" t="s">
        <v>2558</v>
      </c>
      <c r="D2963" s="3">
        <v>45611.596331018518</v>
      </c>
      <c r="E2963" s="2" t="s">
        <v>661</v>
      </c>
    </row>
    <row r="2964" spans="1:5" ht="98" x14ac:dyDescent="0.2">
      <c r="A2964" s="2" t="s">
        <v>1249</v>
      </c>
      <c r="B2964" s="2" t="str">
        <f>HYPERLINK("https://www.crossroadstoday.com/news/espanol/noticias-locales/el-plan-de-robert-f-kennedy-jr-para-hacer-saludable-a-estados-unidos-preocupa-a/article_75b1e0b2-d30f-5e1e-b7a3-0e70716fe919.html")</f>
        <v>https://www.crossroadstoday.com/news/espanol/noticias-locales/el-plan-de-robert-f-kennedy-jr-para-hacer-saludable-a-estados-unidos-preocupa-a/article_75b1e0b2-d30f-5e1e-b7a3-0e70716fe919.html</v>
      </c>
      <c r="C2964" s="2" t="s">
        <v>1821</v>
      </c>
      <c r="D2964" s="3">
        <v>45611.601030092592</v>
      </c>
      <c r="E2964" s="2" t="s">
        <v>1603</v>
      </c>
    </row>
    <row r="2965" spans="1:5" ht="98" x14ac:dyDescent="0.2">
      <c r="A2965" s="2" t="s">
        <v>1249</v>
      </c>
      <c r="B2965" s="2" t="str">
        <f>HYPERLINK("https://ktvz.com/cnn-spanish/2024/11/15/el-plan-de-robert-f-kennedy-jr-para-hacer-saludable-a-estados-unidos-preocupa-a-los-expertos-en-salud/")</f>
        <v>https://ktvz.com/cnn-spanish/2024/11/15/el-plan-de-robert-f-kennedy-jr-para-hacer-saludable-a-estados-unidos-preocupa-a-los-expertos-en-salud/</v>
      </c>
      <c r="C2965" s="2" t="s">
        <v>2747</v>
      </c>
      <c r="D2965" s="3">
        <v>45611.603587962964</v>
      </c>
      <c r="E2965" s="2" t="s">
        <v>661</v>
      </c>
    </row>
    <row r="2966" spans="1:5" ht="98" x14ac:dyDescent="0.2">
      <c r="A2966" s="2" t="s">
        <v>1249</v>
      </c>
      <c r="B2966" s="2" t="str">
        <f>HYPERLINK("https://www.local3news.com/regional-national/en-espanol/el-plan-de-robert-f-kennedy-jr-para-hacer-saludable-a-estados-unidos-preocupa-a/article_542d3f33-2016-58a6-a5d0-41a2b2659387.html")</f>
        <v>https://www.local3news.com/regional-national/en-espanol/el-plan-de-robert-f-kennedy-jr-para-hacer-saludable-a-estados-unidos-preocupa-a/article_542d3f33-2016-58a6-a5d0-41a2b2659387.html</v>
      </c>
      <c r="C2966" s="2" t="s">
        <v>2582</v>
      </c>
      <c r="D2966" s="3">
        <v>45611.63857638889</v>
      </c>
      <c r="E2966" s="2" t="s">
        <v>1603</v>
      </c>
    </row>
    <row r="2967" spans="1:5" ht="98" x14ac:dyDescent="0.2">
      <c r="A2967" s="2" t="s">
        <v>1249</v>
      </c>
      <c r="B2967" s="2" t="str">
        <f>HYPERLINK("https://es-us.noticias.yahoo.com/plan-robert-f-kennedy-jr-185637903.html")</f>
        <v>https://es-us.noticias.yahoo.com/plan-robert-f-kennedy-jr-185637903.html</v>
      </c>
      <c r="C2967" s="2" t="s">
        <v>3197</v>
      </c>
      <c r="D2967" s="3">
        <v>45611.672546296293</v>
      </c>
      <c r="E2967" s="2" t="s">
        <v>1603</v>
      </c>
    </row>
    <row r="2968" spans="1:5" ht="98" x14ac:dyDescent="0.2">
      <c r="A2968" s="2" t="s">
        <v>1249</v>
      </c>
      <c r="B2968" s="2" t="str">
        <f>HYPERLINK("https://www.wxow.com/news/spanish/el-plan-de-robert-f-kennedy-jr-para-hacer-saludable-a-estados-unidos-preocupa-a/article_eac1b2c6-3878-5062-9047-b75b47a7b8c3.html")</f>
        <v>https://www.wxow.com/news/spanish/el-plan-de-robert-f-kennedy-jr-para-hacer-saludable-a-estados-unidos-preocupa-a/article_eac1b2c6-3878-5062-9047-b75b47a7b8c3.html</v>
      </c>
      <c r="C2968" s="2" t="s">
        <v>2107</v>
      </c>
      <c r="D2968" s="3">
        <v>45611.681631944448</v>
      </c>
      <c r="E2968" s="2" t="s">
        <v>1603</v>
      </c>
    </row>
    <row r="2969" spans="1:5" ht="98" x14ac:dyDescent="0.2">
      <c r="A2969" s="2" t="s">
        <v>660</v>
      </c>
      <c r="B2969" s="2" t="str">
        <f>HYPERLINK("https://www.hechoencalifornia1010.com/el-plan-de-robert-f-kennedy-jr-para-hacer-saludable-a-estados-unidos-preocupa-a-los-expertos-en-salud-cnn/")</f>
        <v>https://www.hechoencalifornia1010.com/el-plan-de-robert-f-kennedy-jr-para-hacer-saludable-a-estados-unidos-preocupa-a-los-expertos-en-salud-cnn/</v>
      </c>
      <c r="C2969" s="2" t="s">
        <v>658</v>
      </c>
      <c r="D2969" s="3">
        <v>45611.700243055559</v>
      </c>
      <c r="E2969" s="2" t="s">
        <v>661</v>
      </c>
    </row>
    <row r="2970" spans="1:5" ht="84" x14ac:dyDescent="0.2">
      <c r="A2970" s="2" t="s">
        <v>1824</v>
      </c>
      <c r="B2970" s="2" t="str">
        <f>HYPERLINK("https://www.mahoningmatters.com/news/nation-world/national/article295636314.html")</f>
        <v>https://www.mahoningmatters.com/news/nation-world/national/article295636314.html</v>
      </c>
      <c r="C2970" s="2" t="s">
        <v>1822</v>
      </c>
      <c r="D2970" s="3">
        <v>45611.713379629633</v>
      </c>
      <c r="E2970" s="2" t="s">
        <v>1825</v>
      </c>
    </row>
    <row r="2971" spans="1:5" ht="84" x14ac:dyDescent="0.2">
      <c r="A2971" s="2" t="s">
        <v>3662</v>
      </c>
      <c r="B2971" s="2" t="str">
        <f>HYPERLINK("https://www.newsweek.com/impossible-meat-recall-sparks-warning-8-states-1986669")</f>
        <v>https://www.newsweek.com/impossible-meat-recall-sparks-warning-8-states-1986669</v>
      </c>
      <c r="C2971" s="2" t="s">
        <v>3663</v>
      </c>
      <c r="D2971" s="3">
        <v>45611.717800925922</v>
      </c>
      <c r="E2971" s="2" t="s">
        <v>1825</v>
      </c>
    </row>
    <row r="2972" spans="1:5" ht="98" x14ac:dyDescent="0.2">
      <c r="A2972" s="2" t="s">
        <v>1653</v>
      </c>
      <c r="B2972" s="2" t="str">
        <f>HYPERLINK("https://www.kdrv.com/news/national/rfk-jr-s-to-do-list-to-make-america-healthy-has-health-experts-worried/article_8cc8e1de-eba0-59e9-b8c6-31ffa6770890.html")</f>
        <v>https://www.kdrv.com/news/national/rfk-jr-s-to-do-list-to-make-america-healthy-has-health-experts-worried/article_8cc8e1de-eba0-59e9-b8c6-31ffa6770890.html</v>
      </c>
      <c r="C2972" s="2" t="s">
        <v>2152</v>
      </c>
      <c r="D2972" s="3">
        <v>45611.93949074074</v>
      </c>
      <c r="E2972" s="2" t="s">
        <v>106</v>
      </c>
    </row>
    <row r="2973" spans="1:5" ht="98" x14ac:dyDescent="0.2">
      <c r="A2973" s="2" t="s">
        <v>3239</v>
      </c>
      <c r="B2973" s="2" t="str">
        <f>HYPERLINK("https://www.rnz.co.nz/news/world/533973/rfk-jr-s-to-do-list-to-make-america-healthy-has-health-experts-worried")</f>
        <v>https://www.rnz.co.nz/news/world/533973/rfk-jr-s-to-do-list-to-make-america-healthy-has-health-experts-worried</v>
      </c>
      <c r="C2973" s="2" t="s">
        <v>3240</v>
      </c>
      <c r="D2973" s="3">
        <v>45612.039675925917</v>
      </c>
      <c r="E2973" s="2" t="s">
        <v>1986</v>
      </c>
    </row>
    <row r="2974" spans="1:5" ht="98" x14ac:dyDescent="0.2">
      <c r="A2974" s="2" t="s">
        <v>3239</v>
      </c>
      <c r="B2974" s="2" t="str">
        <f>HYPERLINK("https://news.shreestar.com/rfk-jrs-to-do-list-to-make-america-healthy-has-health-experts-worried/")</f>
        <v>https://news.shreestar.com/rfk-jrs-to-do-list-to-make-america-healthy-has-health-experts-worried/</v>
      </c>
      <c r="C2974" s="2" t="s">
        <v>3983</v>
      </c>
      <c r="D2974" s="3">
        <v>45612.074525462973</v>
      </c>
      <c r="E2974" s="2" t="s">
        <v>106</v>
      </c>
    </row>
    <row r="2975" spans="1:5" ht="98" x14ac:dyDescent="0.2">
      <c r="A2975" s="2" t="s">
        <v>2028</v>
      </c>
      <c r="B2975" s="2" t="str">
        <f>HYPERLINK("https://curadas.com/2024/11/16/el-plan-de-robert-f-kennedy-jr-para-hacer-saludable-a-estados-unidos/")</f>
        <v>https://curadas.com/2024/11/16/el-plan-de-robert-f-kennedy-jr-para-hacer-saludable-a-estados-unidos/</v>
      </c>
      <c r="C2975" s="2" t="s">
        <v>2029</v>
      </c>
      <c r="D2975" s="3">
        <v>45612.303425925929</v>
      </c>
      <c r="E2975" s="2" t="s">
        <v>2030</v>
      </c>
    </row>
    <row r="2976" spans="1:5" ht="98" x14ac:dyDescent="0.2">
      <c r="A2976" s="2" t="s">
        <v>1249</v>
      </c>
      <c r="B2976" s="2" t="str">
        <f>HYPERLINK("https://news.lee.net/partners/cnn/el-plan-de-robert-f-kennedy-jr-para-hacer-saludable-a-estados-unidos-preocupa-a/article_d13784bb-fedc-5add-b19b-654dfd98983b.html")</f>
        <v>https://news.lee.net/partners/cnn/el-plan-de-robert-f-kennedy-jr-para-hacer-saludable-a-estados-unidos-preocupa-a/article_d13784bb-fedc-5add-b19b-654dfd98983b.html</v>
      </c>
      <c r="C2976" s="2" t="s">
        <v>1651</v>
      </c>
      <c r="D2976" s="3">
        <v>45612.465011574073</v>
      </c>
      <c r="E2976" s="2" t="s">
        <v>1603</v>
      </c>
    </row>
    <row r="2977" spans="1:5" ht="98" x14ac:dyDescent="0.2">
      <c r="A2977" s="2" t="s">
        <v>1653</v>
      </c>
      <c r="B2977" s="2" t="str">
        <f>HYPERLINK("https://www.wqow.com/health-watch/rfk-jr-s-to-do-list-to-make-america-healthy-has-health-experts-worried/article_df3e162b-e541-5c1b-975f-6124818e2e50.html")</f>
        <v>https://www.wqow.com/health-watch/rfk-jr-s-to-do-list-to-make-america-healthy-has-health-experts-worried/article_df3e162b-e541-5c1b-975f-6124818e2e50.html</v>
      </c>
      <c r="C2977" s="2" t="s">
        <v>2380</v>
      </c>
      <c r="D2977" s="3">
        <v>45612.538668981477</v>
      </c>
      <c r="E2977" s="2" t="s">
        <v>106</v>
      </c>
    </row>
    <row r="2978" spans="1:5" ht="126" x14ac:dyDescent="0.2">
      <c r="A2978" s="2" t="s">
        <v>3936</v>
      </c>
      <c r="B2978" s="2" t="str">
        <f>HYPERLINK("http://articles.healthrealizations.com/NaturalNurse/2024/11/18/How-to-Prepare-for-Thanksgiving.aspx")</f>
        <v>http://articles.healthrealizations.com/NaturalNurse/2024/11/18/How-to-Prepare-for-Thanksgiving.aspx</v>
      </c>
      <c r="C2978" s="2" t="s">
        <v>3937</v>
      </c>
      <c r="D2978" s="3">
        <v>45612.726134259261</v>
      </c>
      <c r="E2978" s="2" t="s">
        <v>3938</v>
      </c>
    </row>
    <row r="2979" spans="1:5" ht="84" x14ac:dyDescent="0.2">
      <c r="A2979" s="2" t="s">
        <v>2291</v>
      </c>
      <c r="B2979" s="2" t="str">
        <f>HYPERLINK("https://www.nwaonline.com/news/2024/nov/17/schools-lack-appetite-for-lunchables/")</f>
        <v>https://www.nwaonline.com/news/2024/nov/17/schools-lack-appetite-for-lunchables/</v>
      </c>
      <c r="C2979" s="2" t="s">
        <v>2292</v>
      </c>
      <c r="D2979" s="3">
        <v>45613.120509259257</v>
      </c>
      <c r="E2979" s="2" t="s">
        <v>2293</v>
      </c>
    </row>
    <row r="2980" spans="1:5" ht="84" x14ac:dyDescent="0.2">
      <c r="A2980" s="2" t="s">
        <v>2671</v>
      </c>
      <c r="B2980" s="2" t="str">
        <f>HYPERLINK("https://www.arkansasonline.com/news/2024/nov/17/schools-lack-appetite-for-lunchables/")</f>
        <v>https://www.arkansasonline.com/news/2024/nov/17/schools-lack-appetite-for-lunchables/</v>
      </c>
      <c r="C2980" s="2" t="s">
        <v>2672</v>
      </c>
      <c r="D2980" s="3">
        <v>45613.12096064815</v>
      </c>
      <c r="E2980" s="2" t="s">
        <v>2293</v>
      </c>
    </row>
    <row r="2981" spans="1:5" ht="56" x14ac:dyDescent="0.2">
      <c r="A2981" s="2" t="s">
        <v>98</v>
      </c>
      <c r="B2981" s="2" t="str">
        <f>HYPERLINK("https://bitebi.com/industry-funded-study-of-the-week-microalgae-of-all-thins/")</f>
        <v>https://bitebi.com/industry-funded-study-of-the-week-microalgae-of-all-thins/</v>
      </c>
      <c r="C2981" s="2" t="s">
        <v>15</v>
      </c>
      <c r="D2981" s="3">
        <v>45614.398784722223</v>
      </c>
      <c r="E2981" s="2" t="s">
        <v>99</v>
      </c>
    </row>
    <row r="2982" spans="1:5" ht="56" x14ac:dyDescent="0.2">
      <c r="A2982" s="2" t="s">
        <v>138</v>
      </c>
      <c r="B2982" s="2" t="str">
        <f>HYPERLINK("https://bitebi.com/industry-funded-study-of-the-week-microalgae-of-all-things/")</f>
        <v>https://bitebi.com/industry-funded-study-of-the-week-microalgae-of-all-things/</v>
      </c>
      <c r="C2982" s="2" t="s">
        <v>15</v>
      </c>
      <c r="D2982" s="3">
        <v>45614.493113425917</v>
      </c>
      <c r="E2982" s="2" t="s">
        <v>139</v>
      </c>
    </row>
    <row r="2983" spans="1:5" ht="98" x14ac:dyDescent="0.2">
      <c r="A2983" s="2" t="s">
        <v>907</v>
      </c>
      <c r="B2983" s="2" t="str">
        <f>HYPERLINK("https://derekberes.substack.com/p/make-america-hypocritcalagain")</f>
        <v>https://derekberes.substack.com/p/make-america-hypocritcalagain</v>
      </c>
      <c r="C2983" s="2" t="s">
        <v>908</v>
      </c>
      <c r="D2983" s="3">
        <v>45614.536990740737</v>
      </c>
      <c r="E2983" s="2" t="s">
        <v>909</v>
      </c>
    </row>
    <row r="2984" spans="1:5" ht="84" x14ac:dyDescent="0.2">
      <c r="A2984" s="2" t="s">
        <v>1367</v>
      </c>
      <c r="B2984" s="2" t="str">
        <f>HYPERLINK("https://upstract.com/x/1c5cb2b363c20282")</f>
        <v>https://upstract.com/x/1c5cb2b363c20282</v>
      </c>
      <c r="C2984" s="2" t="s">
        <v>1368</v>
      </c>
      <c r="D2984" s="3">
        <v>45614.536990740737</v>
      </c>
      <c r="E2984" s="2" t="s">
        <v>1369</v>
      </c>
    </row>
    <row r="2985" spans="1:5" ht="409.6" x14ac:dyDescent="0.2">
      <c r="A2985" s="2" t="s">
        <v>1367</v>
      </c>
      <c r="B2985" s="2" t="str">
        <f>HYPERLINK("https://www.cnn.com/2024/11/18/health/video/food-dyes-cereal-nutritionist-removal-nr-digvid")</f>
        <v>https://www.cnn.com/2024/11/18/health/video/food-dyes-cereal-nutritionist-removal-nr-digvid</v>
      </c>
      <c r="C2985" s="2" t="s">
        <v>3705</v>
      </c>
      <c r="D2985" s="3">
        <v>45614.541828703703</v>
      </c>
      <c r="E2985" s="2" t="s">
        <v>3707</v>
      </c>
    </row>
    <row r="2986" spans="1:5" ht="42" x14ac:dyDescent="0.2">
      <c r="A2986" s="2" t="s">
        <v>3883</v>
      </c>
      <c r="B2986" s="2" t="str">
        <f>HYPERLINK("https://www.leadstory.com/v/why-removal-of-food-dyes-poses-problem-for-cereal-brands-2024111851")</f>
        <v>https://www.leadstory.com/v/why-removal-of-food-dyes-poses-problem-for-cereal-brands-2024111851</v>
      </c>
      <c r="C2986" s="2" t="s">
        <v>3884</v>
      </c>
      <c r="D2986" s="3">
        <v>45614.60292824074</v>
      </c>
      <c r="E2986" s="2" t="s">
        <v>3885</v>
      </c>
    </row>
    <row r="2987" spans="1:5" ht="98" x14ac:dyDescent="0.2">
      <c r="A2987" s="2" t="s">
        <v>3600</v>
      </c>
      <c r="B2987" s="2" t="str">
        <f>HYPERLINK("https://www.aol.com/rfk-jr-no-1-hurdle-215816534.html")</f>
        <v>https://www.aol.com/rfk-jr-no-1-hurdle-215816534.html</v>
      </c>
      <c r="C2987" s="2" t="s">
        <v>3592</v>
      </c>
      <c r="D2987" s="3">
        <v>45614.707129629627</v>
      </c>
      <c r="E2987" s="2" t="s">
        <v>3601</v>
      </c>
    </row>
    <row r="2988" spans="1:5" ht="98" x14ac:dyDescent="0.2">
      <c r="A2988" s="2" t="s">
        <v>196</v>
      </c>
      <c r="B2988" s="2" t="str">
        <f>HYPERLINK("https://www.nbcnews.com/health/health-news/rfk-jrs-no-1-hurdle-take-unhealthy-food-money-rcna180365")</f>
        <v>https://www.nbcnews.com/health/health-news/rfk-jrs-no-1-hurdle-take-unhealthy-food-money-rcna180365</v>
      </c>
      <c r="C2988" s="2" t="s">
        <v>3645</v>
      </c>
      <c r="D2988" s="3">
        <v>45614.710150462961</v>
      </c>
      <c r="E2988" s="2" t="s">
        <v>3646</v>
      </c>
    </row>
    <row r="2989" spans="1:5" ht="126" x14ac:dyDescent="0.2">
      <c r="A2989" s="2" t="s">
        <v>196</v>
      </c>
      <c r="B2989" s="2" t="str">
        <f>HYPERLINK("https://todayheadline.co/rfk-jrs-no-1-hurdle-take-unhealthy-food-money-rcna180365rand534/")</f>
        <v>https://todayheadline.co/rfk-jrs-no-1-hurdle-take-unhealthy-food-money-rcna180365rand534/</v>
      </c>
      <c r="C2989" s="2" t="s">
        <v>197</v>
      </c>
      <c r="D2989" s="3">
        <v>45614.721944444442</v>
      </c>
      <c r="E2989" s="2" t="s">
        <v>198</v>
      </c>
    </row>
    <row r="2990" spans="1:5" ht="98" x14ac:dyDescent="0.2">
      <c r="A2990" s="2" t="s">
        <v>196</v>
      </c>
      <c r="B2990" s="2" t="str">
        <f>HYPERLINK("https://businessandamerica.com/rfk-jrs-no-1-hurdle-to-take-on-unhealthy-food-money/")</f>
        <v>https://businessandamerica.com/rfk-jrs-no-1-hurdle-to-take-on-unhealthy-food-money/</v>
      </c>
      <c r="C2990" s="2" t="s">
        <v>3854</v>
      </c>
      <c r="D2990" s="3">
        <v>45614.740011574067</v>
      </c>
      <c r="E2990" s="2" t="s">
        <v>3646</v>
      </c>
    </row>
    <row r="2991" spans="1:5" ht="98" x14ac:dyDescent="0.2">
      <c r="A2991" s="2" t="s">
        <v>4018</v>
      </c>
      <c r="B2991" s="2" t="str">
        <f>HYPERLINK("https://www.odishaexpo.com/rfk-jrs-no-1-hurdle-to-take-on-unhealthy-food-money/")</f>
        <v>https://www.odishaexpo.com/rfk-jrs-no-1-hurdle-to-take-on-unhealthy-food-money/</v>
      </c>
      <c r="C2991" s="2" t="s">
        <v>4019</v>
      </c>
      <c r="D2991" s="3">
        <v>45614.74759259259</v>
      </c>
      <c r="E2991" s="2" t="s">
        <v>3646</v>
      </c>
    </row>
    <row r="2992" spans="1:5" ht="98" x14ac:dyDescent="0.2">
      <c r="A2992" s="2" t="s">
        <v>3600</v>
      </c>
      <c r="B2992" s="2" t="str">
        <f>HYPERLINK("https://www.yahoo.com/news/rfk-jrs-no-1-hurdle-235816286.html")</f>
        <v>https://www.yahoo.com/news/rfk-jrs-no-1-hurdle-235816286.html</v>
      </c>
      <c r="C2992" s="2" t="s">
        <v>3728</v>
      </c>
      <c r="D2992" s="3">
        <v>45614.790462962963</v>
      </c>
      <c r="E2992" s="2" t="s">
        <v>3646</v>
      </c>
    </row>
    <row r="2993" spans="1:5" ht="98" x14ac:dyDescent="0.2">
      <c r="A2993" s="2" t="s">
        <v>786</v>
      </c>
      <c r="B2993" s="2" t="str">
        <f>HYPERLINK("https://lesactualites.news/affaires/le-principal-obstacle-de-rfk-jr-a-la-lutte-contre-les-aliments-malsains-largent/")</f>
        <v>https://lesactualites.news/affaires/le-principal-obstacle-de-rfk-jr-a-la-lutte-contre-les-aliments-malsains-largent/</v>
      </c>
      <c r="C2993" s="2" t="s">
        <v>734</v>
      </c>
      <c r="D2993" s="3">
        <v>45614.843148148153</v>
      </c>
      <c r="E2993" s="2" t="s">
        <v>787</v>
      </c>
    </row>
    <row r="2994" spans="1:5" ht="98" x14ac:dyDescent="0.2">
      <c r="A2994" s="2" t="s">
        <v>3902</v>
      </c>
      <c r="B2994" s="2" t="str">
        <f>HYPERLINK("https://theparknews.com/rfk-jr-s-biggest-hurdle-to-unhealthy-eating-is-money/")</f>
        <v>https://theparknews.com/rfk-jr-s-biggest-hurdle-to-unhealthy-eating-is-money/</v>
      </c>
      <c r="C2994" s="2" t="s">
        <v>3903</v>
      </c>
      <c r="D2994" s="3">
        <v>45614.912048611113</v>
      </c>
      <c r="E2994" s="2" t="s">
        <v>3904</v>
      </c>
    </row>
    <row r="2995" spans="1:5" ht="112" x14ac:dyDescent="0.2">
      <c r="A2995" s="2" t="s">
        <v>758</v>
      </c>
      <c r="B2995" s="2" t="str">
        <f>HYPERLINK("https://espanol.news/el-obstaculo-numero-uno-de-rfk-jr-para-enfrentar-la-comida-poco-saludable-el-dinero/")</f>
        <v>https://espanol.news/el-obstaculo-numero-uno-de-rfk-jr-para-enfrentar-la-comida-poco-saludable-el-dinero/</v>
      </c>
      <c r="C2995" s="2" t="s">
        <v>747</v>
      </c>
      <c r="D2995" s="3">
        <v>45614.952870370369</v>
      </c>
      <c r="E2995" s="2" t="s">
        <v>759</v>
      </c>
    </row>
    <row r="2996" spans="1:5" ht="70" x14ac:dyDescent="0.2">
      <c r="A2996" s="2" t="s">
        <v>3233</v>
      </c>
      <c r="B2996" s="2" t="str">
        <f>HYPERLINK("https://www.watson.ch/fr/international/donald-trump/690111734-rfk-jr-veut-revolutionner-l-alimentation-des-americains")</f>
        <v>https://www.watson.ch/fr/international/donald-trump/690111734-rfk-jr-veut-revolutionner-l-alimentation-des-americains</v>
      </c>
      <c r="C2996" s="2" t="s">
        <v>3234</v>
      </c>
      <c r="D2996" s="3">
        <v>45615.049780092602</v>
      </c>
      <c r="E2996" s="2" t="s">
        <v>3235</v>
      </c>
    </row>
    <row r="2997" spans="1:5" ht="98" x14ac:dyDescent="0.2">
      <c r="A2997" s="2" t="s">
        <v>1025</v>
      </c>
      <c r="B2997" s="2" t="str">
        <f>HYPERLINK("https://www.communityvoiceks.com/2024/11/19/rfk-jr-sto-do-list-to-make-america-healthy-has-health-experts-worried/")</f>
        <v>https://www.communityvoiceks.com/2024/11/19/rfk-jr-sto-do-list-to-make-america-healthy-has-health-experts-worried/</v>
      </c>
      <c r="C2997" s="2" t="s">
        <v>1024</v>
      </c>
      <c r="D2997" s="3">
        <v>45615.353148148148</v>
      </c>
      <c r="E2997" s="2" t="s">
        <v>1026</v>
      </c>
    </row>
    <row r="2998" spans="1:5" ht="98" x14ac:dyDescent="0.2">
      <c r="A2998" s="2" t="s">
        <v>1241</v>
      </c>
      <c r="B2998" s="2" t="str">
        <f>HYPERLINK("https://www.medicalbrief.co.za/trump-picks-celebrity-tv-doc-among-other-controversial-health-appointees/")</f>
        <v>https://www.medicalbrief.co.za/trump-picks-celebrity-tv-doc-among-other-controversial-health-appointees/</v>
      </c>
      <c r="C2998" s="2" t="s">
        <v>1242</v>
      </c>
      <c r="D2998" s="3">
        <v>45616.49181712963</v>
      </c>
      <c r="E2998" s="2" t="s">
        <v>106</v>
      </c>
    </row>
    <row r="2999" spans="1:5" ht="345" x14ac:dyDescent="0.2">
      <c r="A2999" s="2" t="s">
        <v>3525</v>
      </c>
      <c r="B2999" s="2" t="str">
        <f>HYPERLINK("https://www.politico.com/news/2024/11/21/rfk-jr-progressive-groups-opposition-00190722")</f>
        <v>https://www.politico.com/news/2024/11/21/rfk-jr-progressive-groups-opposition-00190722</v>
      </c>
      <c r="C2999" s="2" t="s">
        <v>3526</v>
      </c>
      <c r="D2999" s="3">
        <v>45617.5</v>
      </c>
      <c r="E2999" s="2" t="s">
        <v>3527</v>
      </c>
    </row>
    <row r="3000" spans="1:5" ht="42" x14ac:dyDescent="0.2">
      <c r="A3000" s="2" t="s">
        <v>294</v>
      </c>
      <c r="B3000" s="2" t="str">
        <f>HYPERLINK("https://www.eater.com/24300865/are-seed-oils-bad-for-you-fears-panic-explained-carbone-seed-oil-scout")</f>
        <v>https://www.eater.com/24300865/are-seed-oils-bad-for-you-fears-panic-explained-carbone-seed-oil-scout</v>
      </c>
      <c r="C3000" s="2" t="s">
        <v>3425</v>
      </c>
      <c r="D3000" s="3">
        <v>45617.500335648147</v>
      </c>
      <c r="E3000" s="2" t="s">
        <v>466</v>
      </c>
    </row>
    <row r="3001" spans="1:5" ht="98" x14ac:dyDescent="0.2">
      <c r="A3001" s="2" t="s">
        <v>3525</v>
      </c>
      <c r="B3001" s="2" t="str">
        <f>HYPERLINK("https://www.yahoo.com/news/progressive-groups-share-many-rfk-170000351.html")</f>
        <v>https://www.yahoo.com/news/progressive-groups-share-many-rfk-170000351.html</v>
      </c>
      <c r="C3001" s="2" t="s">
        <v>3728</v>
      </c>
      <c r="D3001" s="3">
        <v>45617.509814814817</v>
      </c>
      <c r="E3001" s="2" t="s">
        <v>3730</v>
      </c>
    </row>
    <row r="3002" spans="1:5" ht="42" x14ac:dyDescent="0.2">
      <c r="A3002" s="2" t="s">
        <v>294</v>
      </c>
      <c r="B3002" s="2" t="str">
        <f>HYPERLINK("https://kayrage.com/why-are-people-so-freaked-out-about-seed-oils/")</f>
        <v>https://kayrage.com/why-are-people-so-freaked-out-about-seed-oils/</v>
      </c>
      <c r="C3002" s="2" t="s">
        <v>295</v>
      </c>
      <c r="D3002" s="3">
        <v>45617.514340277783</v>
      </c>
      <c r="E3002" s="2" t="s">
        <v>296</v>
      </c>
    </row>
    <row r="3003" spans="1:5" ht="84" x14ac:dyDescent="0.2">
      <c r="A3003" s="2" t="s">
        <v>1090</v>
      </c>
      <c r="B3003" s="2" t="str">
        <f>HYPERLINK("https://thebharatexpressnews.com/progressive-groups-share-many-of-rfk-jr-s-goals-theyre-against-him-anyway/")</f>
        <v>https://thebharatexpressnews.com/progressive-groups-share-many-of-rfk-jr-s-goals-theyre-against-him-anyway/</v>
      </c>
      <c r="C3003" s="2" t="s">
        <v>1091</v>
      </c>
      <c r="D3003" s="3">
        <v>45617.514768518522</v>
      </c>
      <c r="E3003" s="2" t="s">
        <v>1092</v>
      </c>
    </row>
    <row r="3004" spans="1:5" ht="42" x14ac:dyDescent="0.2">
      <c r="A3004" s="2" t="s">
        <v>465</v>
      </c>
      <c r="B3004" s="2" t="str">
        <f>HYPERLINK("https://canadian-reviews.ca/are-seed-oils-bad-for-you/")</f>
        <v>https://canadian-reviews.ca/are-seed-oils-bad-for-you/</v>
      </c>
      <c r="C3004" s="2" t="s">
        <v>470</v>
      </c>
      <c r="D3004" s="3">
        <v>45617.534201388888</v>
      </c>
      <c r="E3004" s="2" t="s">
        <v>466</v>
      </c>
    </row>
    <row r="3005" spans="1:5" ht="56" x14ac:dyDescent="0.2">
      <c r="A3005" s="2" t="s">
        <v>863</v>
      </c>
      <c r="B3005" s="2" t="str">
        <f>HYPERLINK("https://www.dailymail.co.uk/health/article-14110587/reason-cereal-companies-remove-cancer-dyes-nutritionist.html")</f>
        <v>https://www.dailymail.co.uk/health/article-14110587/reason-cereal-companies-remove-cancer-dyes-nutritionist.html</v>
      </c>
      <c r="C3005" s="2" t="s">
        <v>3655</v>
      </c>
      <c r="D3005" s="3">
        <v>45617.572245370371</v>
      </c>
      <c r="E3005" s="2" t="s">
        <v>3659</v>
      </c>
    </row>
    <row r="3006" spans="1:5" ht="56" x14ac:dyDescent="0.2">
      <c r="A3006" s="2" t="s">
        <v>863</v>
      </c>
      <c r="B3006" s="2" t="str">
        <f>HYPERLINK("https://mahalsa.co.uk/expert-reveals-sinister-reason-froot-loops-wont-remove-cancer-linked-dyes-from-their-products/")</f>
        <v>https://mahalsa.co.uk/expert-reveals-sinister-reason-froot-loops-wont-remove-cancer-linked-dyes-from-their-products/</v>
      </c>
      <c r="C3006" s="2" t="s">
        <v>862</v>
      </c>
      <c r="D3006" s="3">
        <v>45617.57309027778</v>
      </c>
      <c r="E3006" s="2" t="s">
        <v>668</v>
      </c>
    </row>
    <row r="3007" spans="1:5" ht="56" x14ac:dyDescent="0.2">
      <c r="A3007" s="2" t="s">
        <v>535</v>
      </c>
      <c r="B3007" s="2" t="str">
        <f>HYPERLINK("https://usmail24.com/expert-reveals-sinister-reason-why-froot-loops-wont-remove-cancer-related-dyes-from-their-products/")</f>
        <v>https://usmail24.com/expert-reveals-sinister-reason-why-froot-loops-wont-remove-cancer-related-dyes-from-their-products/</v>
      </c>
      <c r="C3007" s="2" t="s">
        <v>536</v>
      </c>
      <c r="D3007" s="3">
        <v>45617.573969907397</v>
      </c>
      <c r="E3007" s="2" t="s">
        <v>537</v>
      </c>
    </row>
    <row r="3008" spans="1:5" ht="56" x14ac:dyDescent="0.2">
      <c r="A3008" s="2" t="s">
        <v>4024</v>
      </c>
      <c r="B3008" s="2" t="str">
        <f>HYPERLINK("https://businessandamerica.com/expert-reveals-sinister-reason-froot-loops-wont-remove-cancer-linked-dyes-from-their-products/")</f>
        <v>https://businessandamerica.com/expert-reveals-sinister-reason-froot-loops-wont-remove-cancer-linked-dyes-from-their-products/</v>
      </c>
      <c r="C3008" s="2" t="s">
        <v>3854</v>
      </c>
      <c r="D3008" s="3">
        <v>45617.584143518521</v>
      </c>
      <c r="E3008" s="2" t="s">
        <v>668</v>
      </c>
    </row>
    <row r="3009" spans="1:5" ht="56" x14ac:dyDescent="0.2">
      <c r="A3009" s="2" t="s">
        <v>1420</v>
      </c>
      <c r="B3009" s="2" t="str">
        <f>HYPERLINK("https://whatsnew2day.com/expert-reveals-sinister-reason-froot-loops-doesnt-remove-cancer-related-dyes-from-its-products/")</f>
        <v>https://whatsnew2day.com/expert-reveals-sinister-reason-froot-loops-doesnt-remove-cancer-related-dyes-from-its-products/</v>
      </c>
      <c r="C3009" s="2" t="s">
        <v>1421</v>
      </c>
      <c r="D3009" s="3">
        <v>45617.585868055547</v>
      </c>
      <c r="E3009" s="2" t="s">
        <v>1422</v>
      </c>
    </row>
    <row r="3010" spans="1:5" ht="56" x14ac:dyDescent="0.2">
      <c r="A3010" s="2" t="s">
        <v>666</v>
      </c>
      <c r="B3010" s="2" t="str">
        <f>HYPERLINK("https://nybreaking.com/expert-reveals-sinister-reason-froot-loops-wont-remove-cancer-linked-dyes-from-their-products/")</f>
        <v>https://nybreaking.com/expert-reveals-sinister-reason-froot-loops-wont-remove-cancer-linked-dyes-from-their-products/</v>
      </c>
      <c r="C3010" s="2" t="s">
        <v>1388</v>
      </c>
      <c r="D3010" s="3">
        <v>45617.594664351847</v>
      </c>
      <c r="E3010" s="2" t="s">
        <v>537</v>
      </c>
    </row>
    <row r="3011" spans="1:5" ht="42" x14ac:dyDescent="0.2">
      <c r="A3011" s="2" t="s">
        <v>465</v>
      </c>
      <c r="B3011" s="2" t="str">
        <f>HYPERLINK("https://newsconquest.com/2024/11/21/are-seed-oils-bad-for-you/")</f>
        <v>https://newsconquest.com/2024/11/21/are-seed-oils-bad-for-you/</v>
      </c>
      <c r="C3011" s="2" t="s">
        <v>464</v>
      </c>
      <c r="D3011" s="3">
        <v>45617.628449074073</v>
      </c>
      <c r="E3011" s="2" t="s">
        <v>466</v>
      </c>
    </row>
    <row r="3012" spans="1:5" ht="56" x14ac:dyDescent="0.2">
      <c r="A3012" s="2" t="s">
        <v>666</v>
      </c>
      <c r="B3012" s="2" t="str">
        <f>HYPERLINK("https://britishbulletin.com/expert-reveals-sinister-reason-froot-loops-wont-remove-cancer-linked-dyes-from-their-products/")</f>
        <v>https://britishbulletin.com/expert-reveals-sinister-reason-froot-loops-wont-remove-cancer-linked-dyes-from-their-products/</v>
      </c>
      <c r="C3012" s="2" t="s">
        <v>667</v>
      </c>
      <c r="D3012" s="3">
        <v>45617.727488425917</v>
      </c>
      <c r="E3012" s="2" t="s">
        <v>668</v>
      </c>
    </row>
    <row r="3013" spans="1:5" ht="84" x14ac:dyDescent="0.2">
      <c r="A3013" s="2" t="s">
        <v>3832</v>
      </c>
      <c r="B3013" s="2" t="str">
        <f>HYPERLINK("https://www.portaltela.com/saude/saude-publica/2024/11/22/estudo-investiga-impacto-dos-ultraprocessados-na-saude-e-desafios-regulatorios-nos-eua")</f>
        <v>https://www.portaltela.com/saude/saude-publica/2024/11/22/estudo-investiga-impacto-dos-ultraprocessados-na-saude-e-desafios-regulatorios-nos-eua</v>
      </c>
      <c r="C3013" s="2" t="s">
        <v>3833</v>
      </c>
      <c r="D3013" s="3">
        <v>45618</v>
      </c>
      <c r="E3013" s="2" t="s">
        <v>3834</v>
      </c>
    </row>
    <row r="3014" spans="1:5" ht="70" x14ac:dyDescent="0.2">
      <c r="A3014" s="2" t="s">
        <v>2517</v>
      </c>
      <c r="B3014" s="2" t="str">
        <f>HYPERLINK("https://nz.news.yahoo.com/lot-rfk-says-bulls-t-080021212.html")</f>
        <v>https://nz.news.yahoo.com/lot-rfk-says-bulls-t-080021212.html</v>
      </c>
      <c r="C3014" s="2" t="s">
        <v>2518</v>
      </c>
      <c r="D3014" s="3">
        <v>45618.125243055547</v>
      </c>
      <c r="E3014" s="2" t="s">
        <v>2519</v>
      </c>
    </row>
    <row r="3015" spans="1:5" ht="70" x14ac:dyDescent="0.2">
      <c r="A3015" s="2" t="s">
        <v>2517</v>
      </c>
      <c r="B3015" s="2" t="str">
        <f>HYPERLINK("https://malaysia.news.yahoo.com/lot-rfk-says-bulls-t-080021212.html")</f>
        <v>https://malaysia.news.yahoo.com/lot-rfk-says-bulls-t-080021212.html</v>
      </c>
      <c r="C3015" s="2" t="s">
        <v>2674</v>
      </c>
      <c r="D3015" s="3">
        <v>45618.125243055547</v>
      </c>
      <c r="E3015" s="2" t="s">
        <v>2519</v>
      </c>
    </row>
    <row r="3016" spans="1:5" ht="70" x14ac:dyDescent="0.2">
      <c r="A3016" s="2" t="s">
        <v>2517</v>
      </c>
      <c r="B3016" s="2" t="str">
        <f>HYPERLINK("https://ca.news.yahoo.com/lot-rfk-says-bulls-t-080021212.html")</f>
        <v>https://ca.news.yahoo.com/lot-rfk-says-bulls-t-080021212.html</v>
      </c>
      <c r="C3016" s="2" t="s">
        <v>3097</v>
      </c>
      <c r="D3016" s="3">
        <v>45618.125243055547</v>
      </c>
      <c r="E3016" s="2" t="s">
        <v>2519</v>
      </c>
    </row>
    <row r="3017" spans="1:5" ht="70" x14ac:dyDescent="0.2">
      <c r="A3017" s="2" t="s">
        <v>4155</v>
      </c>
      <c r="B3017" s="2" t="str">
        <f>HYPERLINK("https://cibum.gr/nea/asfaleia-trofimon/o-logos-poy-oi-etaireies-den-stamatoyn-ti-chrisi-sythetikon-chrostikon/")</f>
        <v>https://cibum.gr/nea/asfaleia-trofimon/o-logos-poy-oi-etaireies-den-stamatoyn-ti-chrisi-sythetikon-chrostikon/</v>
      </c>
      <c r="C3017" s="2" t="s">
        <v>4034</v>
      </c>
      <c r="D3017" s="3">
        <v>45618.133275462962</v>
      </c>
      <c r="E3017" s="2" t="s">
        <v>4156</v>
      </c>
    </row>
    <row r="3018" spans="1:5" ht="70" x14ac:dyDescent="0.2">
      <c r="A3018" s="2" t="s">
        <v>3520</v>
      </c>
      <c r="B3018" s="2" t="str">
        <f>HYPERLINK("https://www.huffpost.com/entry/how-to-fact-check-rfk-health-claims_l_673f6369e4b09ddca79347d2")</f>
        <v>https://www.huffpost.com/entry/how-to-fact-check-rfk-health-claims_l_673f6369e4b09ddca79347d2</v>
      </c>
      <c r="C3018" s="2" t="s">
        <v>3521</v>
      </c>
      <c r="D3018" s="3">
        <v>45618.149224537039</v>
      </c>
      <c r="E3018" s="2" t="s">
        <v>2519</v>
      </c>
    </row>
    <row r="3019" spans="1:5" ht="70" x14ac:dyDescent="0.2">
      <c r="A3019" s="2" t="s">
        <v>3710</v>
      </c>
      <c r="B3019" s="2" t="str">
        <f>HYPERLINK("https://www.cnn.com/2024/11/22/health/ultraprocessed-food-us-dietary-guidelines-wellness/index.html")</f>
        <v>https://www.cnn.com/2024/11/22/health/ultraprocessed-food-us-dietary-guidelines-wellness/index.html</v>
      </c>
      <c r="C3019" s="2" t="s">
        <v>3705</v>
      </c>
      <c r="D3019" s="3">
        <v>45618.257337962961</v>
      </c>
      <c r="E3019" s="2" t="s">
        <v>518</v>
      </c>
    </row>
    <row r="3020" spans="1:5" ht="70" x14ac:dyDescent="0.2">
      <c r="A3020" s="2" t="s">
        <v>517</v>
      </c>
      <c r="B3020" s="2" t="str">
        <f>HYPERLINK("https://health-reporter.news/inside-the-push-for-dietary-guidance-on-ultraprocessed-foods-and-why-its-failing-right-now/")</f>
        <v>https://health-reporter.news/inside-the-push-for-dietary-guidance-on-ultraprocessed-foods-and-why-its-failing-right-now/</v>
      </c>
      <c r="C3020" s="2" t="s">
        <v>222</v>
      </c>
      <c r="D3020" s="3">
        <v>45618.28564814815</v>
      </c>
      <c r="E3020" s="2" t="s">
        <v>518</v>
      </c>
    </row>
    <row r="3021" spans="1:5" ht="112" x14ac:dyDescent="0.2">
      <c r="A3021" s="2" t="s">
        <v>1945</v>
      </c>
      <c r="B3021" s="2" t="str">
        <f>HYPERLINK("https://www.newswise.com/articles/2024-bloomberg-american-health-summit-in-washington-d-c-to-spotlight-concrete-ways-to-advance-public-health-amid-political-division")</f>
        <v>https://www.newswise.com/articles/2024-bloomberg-american-health-summit-in-washington-d-c-to-spotlight-concrete-ways-to-advance-public-health-amid-political-division</v>
      </c>
      <c r="C3021" s="2" t="s">
        <v>1946</v>
      </c>
      <c r="D3021" s="3">
        <v>45618.353020833332</v>
      </c>
      <c r="E3021" s="2" t="s">
        <v>1947</v>
      </c>
    </row>
    <row r="3022" spans="1:5" ht="112" x14ac:dyDescent="0.2">
      <c r="A3022" s="2" t="s">
        <v>4219</v>
      </c>
      <c r="B3022" s="2" t="str">
        <f>HYPERLINK("https://publichealth.jhu.edu/2024/2024-bloomberg-american-health-summit-in-washington-dc-to-spotlight-concrete-ways-to-advance-public-health-amid-political-division")</f>
        <v>https://publichealth.jhu.edu/2024/2024-bloomberg-american-health-summit-in-washington-dc-to-spotlight-concrete-ways-to-advance-public-health-amid-political-division</v>
      </c>
      <c r="C3022" s="2" t="s">
        <v>4220</v>
      </c>
      <c r="D3022" s="3">
        <v>45618.374050925922</v>
      </c>
      <c r="E3022" s="2" t="s">
        <v>1947</v>
      </c>
    </row>
    <row r="3023" spans="1:5" ht="84" x14ac:dyDescent="0.2">
      <c r="A3023" s="2" t="s">
        <v>1158</v>
      </c>
      <c r="B3023" s="2" t="str">
        <f>HYPERLINK("https://www.newsdirectory3.com/join-the-2024-bloomberg-american-health-summit-bridging-public-health-and-politics/")</f>
        <v>https://www.newsdirectory3.com/join-the-2024-bloomberg-american-health-summit-bridging-public-health-and-politics/</v>
      </c>
      <c r="C3023" s="2" t="s">
        <v>1159</v>
      </c>
      <c r="D3023" s="3">
        <v>45618.471400462957</v>
      </c>
      <c r="E3023" s="2" t="s">
        <v>1160</v>
      </c>
    </row>
    <row r="3024" spans="1:5" ht="112" x14ac:dyDescent="0.2">
      <c r="A3024" s="2" t="s">
        <v>3934</v>
      </c>
      <c r="B3024" s="2" t="str">
        <f>HYPERLINK("https://www.bloomberg.org/press/2024-bloomberg-american-health-summit-in-washington-d-c-to-spotlight-concrete-ways-to-advance-public-health-amid-political-division/")</f>
        <v>https://www.bloomberg.org/press/2024-bloomberg-american-health-summit-in-washington-d-c-to-spotlight-concrete-ways-to-advance-public-health-amid-political-division/</v>
      </c>
      <c r="C3024" s="2" t="s">
        <v>3935</v>
      </c>
      <c r="D3024" s="3">
        <v>45618.497754629629</v>
      </c>
      <c r="E3024" s="2" t="s">
        <v>1947</v>
      </c>
    </row>
    <row r="3025" spans="1:5" ht="84" x14ac:dyDescent="0.2">
      <c r="A3025" s="2" t="s">
        <v>1311</v>
      </c>
      <c r="B3025" s="2" t="str">
        <f>HYPERLINK("https://www.thenewlede.org/2024/11/friend-or-foe-environmental-advocates-eye-kennedy-nomination-warily/")</f>
        <v>https://www.thenewlede.org/2024/11/friend-or-foe-environmental-advocates-eye-kennedy-nomination-warily/</v>
      </c>
      <c r="C3025" s="2" t="s">
        <v>1312</v>
      </c>
      <c r="D3025" s="3">
        <v>45618.602442129632</v>
      </c>
      <c r="E3025" s="2" t="s">
        <v>1313</v>
      </c>
    </row>
    <row r="3026" spans="1:5" ht="182" x14ac:dyDescent="0.2">
      <c r="A3026" s="2" t="s">
        <v>930</v>
      </c>
      <c r="B3026" s="2" t="str">
        <f>HYPERLINK("https://holisticprimarycare.net/topics/news-policy-a-economics/trump-2-0-implications-for-holistic-medicine/")</f>
        <v>https://holisticprimarycare.net/topics/news-policy-a-economics/trump-2-0-implications-for-holistic-medicine/</v>
      </c>
      <c r="C3026" s="2" t="s">
        <v>931</v>
      </c>
      <c r="D3026" s="3">
        <v>45618.60601851852</v>
      </c>
      <c r="E3026" s="2" t="s">
        <v>932</v>
      </c>
    </row>
    <row r="3027" spans="1:5" ht="84" x14ac:dyDescent="0.2">
      <c r="A3027" s="2" t="s">
        <v>1060</v>
      </c>
      <c r="B3027" s="2" t="str">
        <f>HYPERLINK("https://lado.mx/noticia.php?id=17142367")</f>
        <v>https://lado.mx/noticia.php?id=17142367</v>
      </c>
      <c r="C3027" s="2" t="s">
        <v>1599</v>
      </c>
      <c r="D3027" s="3">
        <v>45618.606932870367</v>
      </c>
      <c r="E3027" s="2" t="s">
        <v>1601</v>
      </c>
    </row>
    <row r="3028" spans="1:5" ht="84" x14ac:dyDescent="0.2">
      <c r="A3028" s="2" t="s">
        <v>1060</v>
      </c>
      <c r="B3028" s="2" t="str">
        <f>HYPERLINK("https://wtop.com/news/2024/11/son-hasta-el-70-de-la-dieta-estadounidense-pero-ee-uu-no-tiene-una-politica-sobre-alimentos-ultraprocesados/")</f>
        <v>https://wtop.com/news/2024/11/son-hasta-el-70-de-la-dieta-estadounidense-pero-ee-uu-no-tiene-una-politica-sobre-alimentos-ultraprocesados/</v>
      </c>
      <c r="C3028" s="2" t="s">
        <v>3076</v>
      </c>
      <c r="D3028" s="3">
        <v>45618.641261574077</v>
      </c>
      <c r="E3028" s="2" t="s">
        <v>663</v>
      </c>
    </row>
    <row r="3029" spans="1:5" ht="84" x14ac:dyDescent="0.2">
      <c r="A3029" s="2" t="s">
        <v>1060</v>
      </c>
      <c r="B3029" s="2" t="str">
        <f>HYPERLINK("https://es-us.noticias.yahoo.com/70-dieta-estadounidense-ee-uu-202325500.html")</f>
        <v>https://es-us.noticias.yahoo.com/70-dieta-estadounidense-ee-uu-202325500.html</v>
      </c>
      <c r="C3029" s="2" t="s">
        <v>3197</v>
      </c>
      <c r="D3029" s="3">
        <v>45618.641261574077</v>
      </c>
      <c r="E3029" s="2" t="s">
        <v>663</v>
      </c>
    </row>
    <row r="3030" spans="1:5" ht="84" x14ac:dyDescent="0.2">
      <c r="A3030" s="2" t="s">
        <v>1060</v>
      </c>
      <c r="B3030" s="2" t="str">
        <f>HYPERLINK("https://cnnespanol.cnn.com/2024/11/22/constituyen-70-dieta-estadounidense-politica-alimentos-ultraprocesados-trax")</f>
        <v>https://cnnespanol.cnn.com/2024/11/22/constituyen-70-dieta-estadounidense-politica-alimentos-ultraprocesados-trax</v>
      </c>
      <c r="C3030" s="2" t="s">
        <v>3509</v>
      </c>
      <c r="D3030" s="3">
        <v>45618.641261574077</v>
      </c>
      <c r="E3030" s="2" t="s">
        <v>663</v>
      </c>
    </row>
    <row r="3031" spans="1:5" ht="84" x14ac:dyDescent="0.2">
      <c r="A3031" s="2" t="s">
        <v>2450</v>
      </c>
      <c r="B3031" s="2" t="str">
        <f>HYPERLINK("https://kesq.com/kunamundo/noticias-cnn/cnn-spanish/2024/11/22/son-hasta-el-70-de-la-dieta-estadounidense-pero-ee-uu-no-tiene-una-politica-sobre-alimentos-ultraprocesados/")</f>
        <v>https://kesq.com/kunamundo/noticias-cnn/cnn-spanish/2024/11/22/son-hasta-el-70-de-la-dieta-estadounidense-pero-ee-uu-no-tiene-una-politica-sobre-alimentos-ultraprocesados/</v>
      </c>
      <c r="C3031" s="2" t="s">
        <v>2449</v>
      </c>
      <c r="D3031" s="3">
        <v>45618.648530092592</v>
      </c>
      <c r="E3031" s="2" t="s">
        <v>1601</v>
      </c>
    </row>
    <row r="3032" spans="1:5" ht="84" x14ac:dyDescent="0.2">
      <c r="A3032" s="2" t="s">
        <v>1060</v>
      </c>
      <c r="B3032" s="2" t="str">
        <f>HYPERLINK("https://kion546.com/t23/noticias-cnn/cnn-spanish/2024/11/22/son-hasta-el-70-de-la-dieta-estadounidense-pero-ee-uu-no-tiene-una-politica-sobre-alimentos-ultraprocesados/")</f>
        <v>https://kion546.com/t23/noticias-cnn/cnn-spanish/2024/11/22/son-hasta-el-70-de-la-dieta-estadounidense-pero-ee-uu-no-tiene-una-politica-sobre-alimentos-ultraprocesados/</v>
      </c>
      <c r="C3032" s="2" t="s">
        <v>1953</v>
      </c>
      <c r="D3032" s="3">
        <v>45618.653958333343</v>
      </c>
      <c r="E3032" s="2" t="s">
        <v>663</v>
      </c>
    </row>
    <row r="3033" spans="1:5" ht="84" x14ac:dyDescent="0.2">
      <c r="A3033" s="2" t="s">
        <v>1060</v>
      </c>
      <c r="B3033" s="2" t="str">
        <f>HYPERLINK("https://keyt.com/latino/cnn-spanish/2024/11/22/son-hasta-el-70-de-la-dieta-estadounidense-pero-ee-uu-no-tiene-una-politica-sobre-alimentos-ultraprocesados/")</f>
        <v>https://keyt.com/latino/cnn-spanish/2024/11/22/son-hasta-el-70-de-la-dieta-estadounidense-pero-ee-uu-no-tiene-una-politica-sobre-alimentos-ultraprocesados/</v>
      </c>
      <c r="C3033" s="2" t="s">
        <v>2330</v>
      </c>
      <c r="D3033" s="3">
        <v>45618.654062499998</v>
      </c>
      <c r="E3033" s="2" t="s">
        <v>663</v>
      </c>
    </row>
    <row r="3034" spans="1:5" ht="84" x14ac:dyDescent="0.2">
      <c r="A3034" s="2" t="s">
        <v>1060</v>
      </c>
      <c r="B3034" s="2" t="str">
        <f>HYPERLINK("https://krdo.com/news/2024/11/22/son-hasta-el-70-de-la-dieta-estadounidense-pero-ee-uu-no-tiene-una-politica-sobre-alimentos-ultraprocesados/")</f>
        <v>https://krdo.com/news/2024/11/22/son-hasta-el-70-de-la-dieta-estadounidense-pero-ee-uu-no-tiene-una-politica-sobre-alimentos-ultraprocesados/</v>
      </c>
      <c r="C3034" s="2" t="s">
        <v>2558</v>
      </c>
      <c r="D3034" s="3">
        <v>45618.659236111111</v>
      </c>
      <c r="E3034" s="2" t="s">
        <v>663</v>
      </c>
    </row>
    <row r="3035" spans="1:5" ht="84" x14ac:dyDescent="0.2">
      <c r="A3035" s="2" t="s">
        <v>1060</v>
      </c>
      <c r="B3035" s="2" t="str">
        <f>HYPERLINK("https://abc17news.com/cnn-spanish/2024/11/22/son-hasta-el-70-de-la-dieta-estadounidense-pero-ee-uu-no-tiene-una-politica-sobre-alimentos-ultraprocesados/")</f>
        <v>https://abc17news.com/cnn-spanish/2024/11/22/son-hasta-el-70-de-la-dieta-estadounidense-pero-ee-uu-no-tiene-una-politica-sobre-alimentos-ultraprocesados/</v>
      </c>
      <c r="C3035" s="2" t="s">
        <v>2484</v>
      </c>
      <c r="D3035" s="3">
        <v>45618.660405092603</v>
      </c>
      <c r="E3035" s="2" t="s">
        <v>663</v>
      </c>
    </row>
    <row r="3036" spans="1:5" ht="84" x14ac:dyDescent="0.2">
      <c r="A3036" s="2" t="s">
        <v>1060</v>
      </c>
      <c r="B3036" s="2" t="str">
        <f>HYPERLINK("https://kvia.com/news/noticias/cnn-spanish/2024/11/22/son-hasta-el-70-de-la-dieta-estadounidense-pero-ee-uu-no-tiene-una-politica-sobre-alimentos-ultraprocesados/")</f>
        <v>https://kvia.com/news/noticias/cnn-spanish/2024/11/22/son-hasta-el-70-de-la-dieta-estadounidense-pero-ee-uu-no-tiene-una-politica-sobre-alimentos-ultraprocesados/</v>
      </c>
      <c r="C3036" s="2" t="s">
        <v>2358</v>
      </c>
      <c r="D3036" s="3">
        <v>45618.662800925929</v>
      </c>
      <c r="E3036" s="2" t="s">
        <v>663</v>
      </c>
    </row>
    <row r="3037" spans="1:5" ht="84" x14ac:dyDescent="0.2">
      <c r="A3037" s="2" t="s">
        <v>1060</v>
      </c>
      <c r="B3037" s="2" t="str">
        <f>HYPERLINK("https://ktvz.com/cnn-spanish/2024/11/22/son-hasta-el-70-de-la-dieta-estadounidense-pero-ee-uu-no-tiene-una-politica-sobre-alimentos-ultraprocesados/")</f>
        <v>https://ktvz.com/cnn-spanish/2024/11/22/son-hasta-el-70-de-la-dieta-estadounidense-pero-ee-uu-no-tiene-una-politica-sobre-alimentos-ultraprocesados/</v>
      </c>
      <c r="C3037" s="2" t="s">
        <v>2747</v>
      </c>
      <c r="D3037" s="3">
        <v>45618.665844907409</v>
      </c>
      <c r="E3037" s="2" t="s">
        <v>663</v>
      </c>
    </row>
    <row r="3038" spans="1:5" ht="84" x14ac:dyDescent="0.2">
      <c r="A3038" s="2" t="s">
        <v>2165</v>
      </c>
      <c r="B3038" s="2" t="str">
        <f>HYPERLINK("https://localnews8.com/cnn-spanish/2024/11/22/son-hasta-el-70-de-la-dieta-estadounidense-pero-ee-uu-no-tiene-una-politica-sobre-alimentos-ultraprocesados/")</f>
        <v>https://localnews8.com/cnn-spanish/2024/11/22/son-hasta-el-70-de-la-dieta-estadounidense-pero-ee-uu-no-tiene-una-politica-sobre-alimentos-ultraprocesados/</v>
      </c>
      <c r="C3038" s="2" t="s">
        <v>2164</v>
      </c>
      <c r="D3038" s="3">
        <v>45618.667337962957</v>
      </c>
      <c r="E3038" s="2" t="s">
        <v>663</v>
      </c>
    </row>
    <row r="3039" spans="1:5" ht="84" x14ac:dyDescent="0.2">
      <c r="A3039" s="2" t="s">
        <v>1060</v>
      </c>
      <c r="B3039" s="2" t="str">
        <f>HYPERLINK("https://noticiasya.com/2024/11/22/constituyen-70-dieta-estadounidense-politica-alimentos-ultraprocesados-trax/")</f>
        <v>https://noticiasya.com/2024/11/22/constituyen-70-dieta-estadounidense-politica-alimentos-ultraprocesados-trax/</v>
      </c>
      <c r="C3039" s="2" t="s">
        <v>927</v>
      </c>
      <c r="D3039" s="3">
        <v>45618.671423611107</v>
      </c>
      <c r="E3039" s="2" t="s">
        <v>1251</v>
      </c>
    </row>
    <row r="3040" spans="1:5" ht="84" x14ac:dyDescent="0.2">
      <c r="A3040" s="2" t="s">
        <v>1060</v>
      </c>
      <c r="B3040" s="2" t="str">
        <f>HYPERLINK("https://www.kezi.com/news/spanish/son-hasta-el-70-de-la-dieta-estadounidense-pero-ee-uu-no-tiene-una-pol/article_0eacf3ef-ade4-55e5-b24a-2fa51cd11c5b.html")</f>
        <v>https://www.kezi.com/news/spanish/son-hasta-el-70-de-la-dieta-estadounidense-pero-ee-uu-no-tiene-una-pol/article_0eacf3ef-ade4-55e5-b24a-2fa51cd11c5b.html</v>
      </c>
      <c r="C3040" s="2" t="s">
        <v>2410</v>
      </c>
      <c r="D3040" s="3">
        <v>45618.689641203702</v>
      </c>
      <c r="E3040" s="2" t="s">
        <v>1601</v>
      </c>
    </row>
    <row r="3041" spans="1:5" ht="84" x14ac:dyDescent="0.2">
      <c r="A3041" s="2" t="s">
        <v>662</v>
      </c>
      <c r="B3041" s="2" t="str">
        <f>HYPERLINK("https://www.hechoencalifornia1010.com/son-hasta-el-70-de-la-dieta-estadounidense-pero-ee-uu-no-tiene-una-politica-sobre-alimentos-ultraprocesados-cnn/")</f>
        <v>https://www.hechoencalifornia1010.com/son-hasta-el-70-de-la-dieta-estadounidense-pero-ee-uu-no-tiene-una-politica-sobre-alimentos-ultraprocesados-cnn/</v>
      </c>
      <c r="C3041" s="2" t="s">
        <v>658</v>
      </c>
      <c r="D3041" s="3">
        <v>45618.697233796287</v>
      </c>
      <c r="E3041" s="2" t="s">
        <v>663</v>
      </c>
    </row>
    <row r="3042" spans="1:5" ht="84" x14ac:dyDescent="0.2">
      <c r="A3042" s="2" t="s">
        <v>1060</v>
      </c>
      <c r="B3042" s="2" t="str">
        <f>HYPERLINK("https://www.crossroadstoday.com/news/espanol/noticias-locales/son-hasta-el-70-de-la-dieta-estadounidense-pero-ee-uu-no-tiene-una-pol/article_d2ff2279-4a9d-5bbb-825f-d396f7bc11ba.html")</f>
        <v>https://www.crossroadstoday.com/news/espanol/noticias-locales/son-hasta-el-70-de-la-dieta-estadounidense-pero-ee-uu-no-tiene-una-pol/article_d2ff2279-4a9d-5bbb-825f-d396f7bc11ba.html</v>
      </c>
      <c r="C3042" s="2" t="s">
        <v>1821</v>
      </c>
      <c r="D3042" s="3">
        <v>45618.721458333333</v>
      </c>
      <c r="E3042" s="2" t="s">
        <v>1601</v>
      </c>
    </row>
    <row r="3043" spans="1:5" ht="84" x14ac:dyDescent="0.2">
      <c r="A3043" s="2" t="s">
        <v>1060</v>
      </c>
      <c r="B3043" s="2" t="str">
        <f>HYPERLINK("https://www.local3news.com/regional-national/en-espanol/son-hasta-el-70-de-la-dieta-estadounidense-pero-ee-uu-no-tiene-una-pol/article_cceefb3e-3d5f-506d-90db-055edabbba48.html")</f>
        <v>https://www.local3news.com/regional-national/en-espanol/son-hasta-el-70-de-la-dieta-estadounidense-pero-ee-uu-no-tiene-una-pol/article_cceefb3e-3d5f-506d-90db-055edabbba48.html</v>
      </c>
      <c r="C3043" s="2" t="s">
        <v>2582</v>
      </c>
      <c r="D3043" s="3">
        <v>45618.817349537043</v>
      </c>
      <c r="E3043" s="2" t="s">
        <v>1601</v>
      </c>
    </row>
    <row r="3044" spans="1:5" ht="70" x14ac:dyDescent="0.2">
      <c r="A3044" s="2" t="s">
        <v>1203</v>
      </c>
      <c r="B3044" s="2" t="str">
        <f>HYPERLINK("https://www.infobae.com/estados-unidos/2024/11/23/el-impacto-de-los-alimentos-ultraprocesados-en-la-salud-un-experimento-innovador-en-eeuu/")</f>
        <v>https://www.infobae.com/estados-unidos/2024/11/23/el-impacto-de-los-alimentos-ultraprocesados-en-la-salud-un-experimento-innovador-en-eeuu/</v>
      </c>
      <c r="C3044" s="2" t="s">
        <v>3689</v>
      </c>
      <c r="D3044" s="3">
        <v>45618.912002314813</v>
      </c>
      <c r="E3044" s="2" t="s">
        <v>3691</v>
      </c>
    </row>
    <row r="3045" spans="1:5" ht="70" x14ac:dyDescent="0.2">
      <c r="A3045" s="2" t="s">
        <v>1203</v>
      </c>
      <c r="B3045" s="2" t="str">
        <f>HYPERLINK("https://prensapuradigital.com/2024/11/23/el-impacto-de-los-alimentos-ultraprocesados-en-la-salud-un-experimento-innovador-en-eeuu/")</f>
        <v>https://prensapuradigital.com/2024/11/23/el-impacto-de-los-alimentos-ultraprocesados-en-la-salud-un-experimento-innovador-en-eeuu/</v>
      </c>
      <c r="C3045" s="2" t="s">
        <v>4218</v>
      </c>
      <c r="D3045" s="3">
        <v>45618.918206018519</v>
      </c>
      <c r="E3045" s="2" t="s">
        <v>3691</v>
      </c>
    </row>
    <row r="3046" spans="1:5" ht="84" x14ac:dyDescent="0.2">
      <c r="A3046" s="2" t="s">
        <v>1060</v>
      </c>
      <c r="B3046" s="2" t="str">
        <f>HYPERLINK("https://d1softballnews.com/son-hasta-el-70-de-la-dieta-estadounidense-pero-ee-uu-no-tiene-una-politica-sobre-alimentos-ultraprocesados/")</f>
        <v>https://d1softballnews.com/son-hasta-el-70-de-la-dieta-estadounidense-pero-ee-uu-no-tiene-una-politica-sobre-alimentos-ultraprocesados/</v>
      </c>
      <c r="C3046" s="2" t="s">
        <v>1061</v>
      </c>
      <c r="D3046" s="3">
        <v>45618.981689814813</v>
      </c>
      <c r="E3046" s="2" t="s">
        <v>663</v>
      </c>
    </row>
    <row r="3047" spans="1:5" ht="70" x14ac:dyDescent="0.2">
      <c r="A3047" s="2" t="s">
        <v>4157</v>
      </c>
      <c r="B3047" s="2" t="str">
        <f>HYPERLINK("https://netizen.media/opini/rfk-jr-mempunyai-peluang-besar-untuk-menjadikan-amerika-lebih-sehat/180207/")</f>
        <v>https://netizen.media/opini/rfk-jr-mempunyai-peluang-besar-untuk-menjadikan-amerika-lebih-sehat/180207/</v>
      </c>
      <c r="C3047" s="2" t="s">
        <v>4158</v>
      </c>
      <c r="D3047" s="3">
        <v>45619.031585648147</v>
      </c>
      <c r="E3047" s="2" t="s">
        <v>4159</v>
      </c>
    </row>
    <row r="3048" spans="1:5" ht="56" x14ac:dyDescent="0.2">
      <c r="A3048" s="2" t="s">
        <v>2964</v>
      </c>
      <c r="B3048" s="2" t="str">
        <f>HYPERLINK("https://www.bostonherald.com/2024/11/23/gaskin-rfk-jr-has-big-opportunity-to-make-america-healthier/")</f>
        <v>https://www.bostonherald.com/2024/11/23/gaskin-rfk-jr-has-big-opportunity-to-make-america-healthier/</v>
      </c>
      <c r="C3048" s="2" t="s">
        <v>2963</v>
      </c>
      <c r="D3048" s="3">
        <v>45619.033032407409</v>
      </c>
      <c r="E3048" s="2" t="s">
        <v>2965</v>
      </c>
    </row>
    <row r="3049" spans="1:5" ht="56" x14ac:dyDescent="0.2">
      <c r="A3049" s="2" t="s">
        <v>166</v>
      </c>
      <c r="B3049" s="2" t="str">
        <f>HYPERLINK("https://bitebi.com/weekend-reading-real-food-real-facts/")</f>
        <v>https://bitebi.com/weekend-reading-real-food-real-facts/</v>
      </c>
      <c r="C3049" s="2" t="s">
        <v>15</v>
      </c>
      <c r="D3049" s="3">
        <v>45619.690428240741</v>
      </c>
      <c r="E3049" s="2" t="s">
        <v>167</v>
      </c>
    </row>
    <row r="3050" spans="1:5" ht="56" x14ac:dyDescent="0.2">
      <c r="A3050" s="2" t="s">
        <v>3802</v>
      </c>
      <c r="B3050" s="2" t="str">
        <f>HYPERLINK("https://scriptori.com/2024/11/24/rfk-jr-promises-healthier-american-diet-in-potential-presidential-campaign/")</f>
        <v>https://scriptori.com/2024/11/24/rfk-jr-promises-healthier-american-diet-in-potential-presidential-campaign/</v>
      </c>
      <c r="C3050" s="2" t="s">
        <v>3803</v>
      </c>
      <c r="D3050" s="3">
        <v>45620</v>
      </c>
      <c r="E3050" s="2" t="s">
        <v>3804</v>
      </c>
    </row>
    <row r="3051" spans="1:5" ht="42" x14ac:dyDescent="0.2">
      <c r="A3051" s="2" t="s">
        <v>78</v>
      </c>
      <c r="B3051" s="2" t="str">
        <f>HYPERLINK("https://rocketnews.com/2024/11/can-rfk-jr-make-americas-diet-healthy-again/")</f>
        <v>https://rocketnews.com/2024/11/can-rfk-jr-make-americas-diet-healthy-again/</v>
      </c>
      <c r="C3051" s="2" t="s">
        <v>287</v>
      </c>
      <c r="D3051" s="3">
        <v>45620.00854166667</v>
      </c>
      <c r="E3051" s="2" t="s">
        <v>288</v>
      </c>
    </row>
    <row r="3052" spans="1:5" ht="56" x14ac:dyDescent="0.2">
      <c r="A3052" s="2" t="s">
        <v>3996</v>
      </c>
      <c r="B3052" s="2" t="str">
        <f>HYPERLINK("https://peoplebugs.com/health/can-rfk-jr-make-americas-diet-healthy-again/")</f>
        <v>https://peoplebugs.com/health/can-rfk-jr-make-americas-diet-healthy-again/</v>
      </c>
      <c r="C3052" s="2" t="s">
        <v>4172</v>
      </c>
      <c r="D3052" s="3">
        <v>45620.00854166667</v>
      </c>
      <c r="E3052" s="2" t="s">
        <v>337</v>
      </c>
    </row>
    <row r="3053" spans="1:5" ht="56" x14ac:dyDescent="0.2">
      <c r="A3053" s="2" t="s">
        <v>78</v>
      </c>
      <c r="B3053" s="2" t="str">
        <f>HYPERLINK("https://www.aol.com/news/rfk-jr-americas-diet-healthy-051223491.html")</f>
        <v>https://www.aol.com/news/rfk-jr-americas-diet-healthy-051223491.html</v>
      </c>
      <c r="C3053" s="2" t="s">
        <v>3592</v>
      </c>
      <c r="D3053" s="3">
        <v>45620.008599537039</v>
      </c>
      <c r="E3053" s="2" t="s">
        <v>3071</v>
      </c>
    </row>
    <row r="3054" spans="1:5" ht="56" x14ac:dyDescent="0.2">
      <c r="A3054" s="2" t="s">
        <v>78</v>
      </c>
      <c r="B3054" s="2" t="str">
        <f>HYPERLINK("https://www.bbc.com/news/articles/cze391y17z7o")</f>
        <v>https://www.bbc.com/news/articles/cze391y17z7o</v>
      </c>
      <c r="C3054" s="2" t="s">
        <v>3712</v>
      </c>
      <c r="D3054" s="3">
        <v>45620.010740740741</v>
      </c>
      <c r="E3054" s="2" t="s">
        <v>80</v>
      </c>
    </row>
    <row r="3055" spans="1:5" ht="56" x14ac:dyDescent="0.2">
      <c r="A3055" s="2" t="s">
        <v>78</v>
      </c>
      <c r="B3055" s="2" t="str">
        <f>HYPERLINK("https://newsconquest.com/2024/11/24/can-rfk-jr-make-americas-diet-healthy-again/")</f>
        <v>https://newsconquest.com/2024/11/24/can-rfk-jr-make-americas-diet-healthy-again/</v>
      </c>
      <c r="C3055" s="2" t="s">
        <v>464</v>
      </c>
      <c r="D3055" s="3">
        <v>45620.015162037038</v>
      </c>
      <c r="E3055" s="2" t="s">
        <v>337</v>
      </c>
    </row>
    <row r="3056" spans="1:5" ht="56" x14ac:dyDescent="0.2">
      <c r="A3056" s="2" t="s">
        <v>653</v>
      </c>
      <c r="B3056" s="2" t="str">
        <f>HYPERLINK("https://worldnewsera.com/news/can-rfk-jr-make-americas-diet-healthy-again/")</f>
        <v>https://worldnewsera.com/news/can-rfk-jr-make-americas-diet-healthy-again/</v>
      </c>
      <c r="C3056" s="2" t="s">
        <v>654</v>
      </c>
      <c r="D3056" s="3">
        <v>45620.020092592589</v>
      </c>
      <c r="E3056" s="2" t="s">
        <v>337</v>
      </c>
    </row>
    <row r="3057" spans="1:5" ht="56" x14ac:dyDescent="0.2">
      <c r="A3057" s="2" t="s">
        <v>78</v>
      </c>
      <c r="B3057" s="2" t="str">
        <f>HYPERLINK("https://health-reporter.news/can-rfk-jr-make-americas-diet-healthy-again/")</f>
        <v>https://health-reporter.news/can-rfk-jr-make-americas-diet-healthy-again/</v>
      </c>
      <c r="C3057" s="2" t="s">
        <v>222</v>
      </c>
      <c r="D3057" s="3">
        <v>45620.020555555559</v>
      </c>
      <c r="E3057" s="2" t="s">
        <v>337</v>
      </c>
    </row>
    <row r="3058" spans="1:5" ht="56" x14ac:dyDescent="0.2">
      <c r="A3058" s="2" t="s">
        <v>78</v>
      </c>
      <c r="B3058" s="2" t="str">
        <f>HYPERLINK("https://www.kamumedya.com/can-rfk-jr-make-america-s-diet-healthy-again-612910.html")</f>
        <v>https://www.kamumedya.com/can-rfk-jr-make-america-s-diet-healthy-again-612910.html</v>
      </c>
      <c r="C3058" s="2" t="s">
        <v>79</v>
      </c>
      <c r="D3058" s="3">
        <v>45620.021805555552</v>
      </c>
      <c r="E3058" s="2" t="s">
        <v>80</v>
      </c>
    </row>
    <row r="3059" spans="1:5" ht="56" x14ac:dyDescent="0.2">
      <c r="A3059" s="2" t="s">
        <v>78</v>
      </c>
      <c r="B3059" s="2" t="str">
        <f>HYPERLINK("https://www.newssniffer.co.uk/articles/2714699/diff/0/1")</f>
        <v>https://www.newssniffer.co.uk/articles/2714699/diff/0/1</v>
      </c>
      <c r="C3059" s="2" t="s">
        <v>496</v>
      </c>
      <c r="D3059" s="3">
        <v>45620.025127314817</v>
      </c>
      <c r="E3059" s="2" t="s">
        <v>80</v>
      </c>
    </row>
    <row r="3060" spans="1:5" ht="56" x14ac:dyDescent="0.2">
      <c r="A3060" s="2" t="s">
        <v>743</v>
      </c>
      <c r="B3060" s="2" t="str">
        <f>HYPERLINK("https://theglobalherald.com/news/revamping-american-nutrition-rfk-jr-s-mission-against-processed-foods/")</f>
        <v>https://theglobalherald.com/news/revamping-american-nutrition-rfk-jr-s-mission-against-processed-foods/</v>
      </c>
      <c r="C3060" s="2" t="s">
        <v>744</v>
      </c>
      <c r="D3060" s="3">
        <v>45620.026030092587</v>
      </c>
      <c r="E3060" s="2" t="s">
        <v>745</v>
      </c>
    </row>
    <row r="3061" spans="1:5" ht="56" x14ac:dyDescent="0.2">
      <c r="A3061" s="2" t="s">
        <v>3955</v>
      </c>
      <c r="B3061" s="2" t="str">
        <f>HYPERLINK("https://www.shango.media/bbc-can-rfk-jr-make-americas-diet-healthy-again-8828491")</f>
        <v>https://www.shango.media/bbc-can-rfk-jr-make-americas-diet-healthy-again-8828491</v>
      </c>
      <c r="C3061" s="2" t="s">
        <v>3956</v>
      </c>
      <c r="D3061" s="3">
        <v>45620.028634259259</v>
      </c>
      <c r="E3061" s="2" t="s">
        <v>3957</v>
      </c>
    </row>
    <row r="3062" spans="1:5" ht="56" x14ac:dyDescent="0.2">
      <c r="A3062" s="2" t="s">
        <v>78</v>
      </c>
      <c r="B3062" s="2" t="str">
        <f>HYPERLINK("https://www.yahoo.com/news/rfk-jr-americas-diet-healthy-051223879.html")</f>
        <v>https://www.yahoo.com/news/rfk-jr-americas-diet-healthy-051223879.html</v>
      </c>
      <c r="C3062" s="2" t="s">
        <v>3728</v>
      </c>
      <c r="D3062" s="3">
        <v>45620.029062499998</v>
      </c>
      <c r="E3062" s="2" t="s">
        <v>80</v>
      </c>
    </row>
    <row r="3063" spans="1:5" ht="56" x14ac:dyDescent="0.2">
      <c r="A3063" s="2" t="s">
        <v>3996</v>
      </c>
      <c r="B3063" s="2" t="str">
        <f>HYPERLINK("https://businessandamerica.com/can-rfk-jr-make-americas-diet-healthy-again/")</f>
        <v>https://businessandamerica.com/can-rfk-jr-make-americas-diet-healthy-again/</v>
      </c>
      <c r="C3063" s="2" t="s">
        <v>3854</v>
      </c>
      <c r="D3063" s="3">
        <v>45620.030613425923</v>
      </c>
      <c r="E3063" s="2" t="s">
        <v>337</v>
      </c>
    </row>
    <row r="3064" spans="1:5" ht="56" x14ac:dyDescent="0.2">
      <c r="A3064" s="2" t="s">
        <v>748</v>
      </c>
      <c r="B3064" s="2" t="str">
        <f>HYPERLINK("https://espanol.news/podra-rfk-jr-hacer-que-la-dieta-estadounidense-vuelva-a-ser-saludable/")</f>
        <v>https://espanol.news/podra-rfk-jr-hacer-que-la-dieta-estadounidense-vuelva-a-ser-saludable/</v>
      </c>
      <c r="C3064" s="2" t="s">
        <v>747</v>
      </c>
      <c r="D3064" s="3">
        <v>45620.03087962963</v>
      </c>
      <c r="E3064" s="2" t="s">
        <v>749</v>
      </c>
    </row>
    <row r="3065" spans="1:5" ht="56" x14ac:dyDescent="0.2">
      <c r="A3065" s="2" t="s">
        <v>78</v>
      </c>
      <c r="B3065" s="2" t="str">
        <f>HYPERLINK("https://ca.news.yahoo.com/rfk-jr-americas-diet-healthy-051223879.html")</f>
        <v>https://ca.news.yahoo.com/rfk-jr-americas-diet-healthy-051223879.html</v>
      </c>
      <c r="C3065" s="2" t="s">
        <v>3097</v>
      </c>
      <c r="D3065" s="3">
        <v>45620.032106481478</v>
      </c>
      <c r="E3065" s="2" t="s">
        <v>80</v>
      </c>
    </row>
    <row r="3066" spans="1:5" ht="56" x14ac:dyDescent="0.2">
      <c r="A3066" s="2" t="s">
        <v>496</v>
      </c>
      <c r="B3066" s="2" t="str">
        <f>HYPERLINK("https://www.newssniffer.co.uk/versions/15748205")</f>
        <v>https://www.newssniffer.co.uk/versions/15748205</v>
      </c>
      <c r="C3066" s="2" t="s">
        <v>496</v>
      </c>
      <c r="D3066" s="3">
        <v>45620.032858796287</v>
      </c>
      <c r="E3066" s="2" t="s">
        <v>80</v>
      </c>
    </row>
    <row r="3067" spans="1:5" ht="56" x14ac:dyDescent="0.2">
      <c r="A3067" s="2" t="s">
        <v>78</v>
      </c>
      <c r="B3067" s="2" t="str">
        <f>HYPERLINK("https://wdcnews6.com/can-rfk-jr-make-americas-diet-healthy-again/")</f>
        <v>https://wdcnews6.com/can-rfk-jr-make-americas-diet-healthy-again/</v>
      </c>
      <c r="C3067" s="2" t="s">
        <v>541</v>
      </c>
      <c r="D3067" s="3">
        <v>45620.066747685189</v>
      </c>
      <c r="E3067" s="2" t="s">
        <v>337</v>
      </c>
    </row>
    <row r="3068" spans="1:5" ht="56" x14ac:dyDescent="0.2">
      <c r="A3068" s="2" t="s">
        <v>3997</v>
      </c>
      <c r="B3068" s="2" t="str">
        <f>HYPERLINK("https://www.dagens.se/utrikes/kan-robert-f-kennedy-jr-foeraendra-amerikas-matvanor-en-kontroversiell-plan-foer-haelsa-och-reform")</f>
        <v>https://www.dagens.se/utrikes/kan-robert-f-kennedy-jr-foeraendra-amerikas-matvanor-en-kontroversiell-plan-foer-haelsa-och-reform</v>
      </c>
      <c r="C3068" s="2" t="s">
        <v>3998</v>
      </c>
      <c r="D3068" s="3">
        <v>45620.121701388889</v>
      </c>
      <c r="E3068" s="2" t="s">
        <v>3999</v>
      </c>
    </row>
    <row r="3069" spans="1:5" ht="56" x14ac:dyDescent="0.2">
      <c r="A3069" s="2" t="s">
        <v>78</v>
      </c>
      <c r="B3069" s="2" t="str">
        <f>HYPERLINK("https://www.europesays.com/1634364/")</f>
        <v>https://www.europesays.com/1634364/</v>
      </c>
      <c r="C3069" s="2" t="s">
        <v>3788</v>
      </c>
      <c r="D3069" s="3">
        <v>45620.19258101852</v>
      </c>
      <c r="E3069" s="2" t="s">
        <v>337</v>
      </c>
    </row>
    <row r="3070" spans="1:5" ht="56" x14ac:dyDescent="0.2">
      <c r="A3070" s="2" t="s">
        <v>78</v>
      </c>
      <c r="B3070" s="2" t="str">
        <f>HYPERLINK("https://www.myjoyonline.com/can-rfk-jr-make-americas-diet-healthy-again/")</f>
        <v>https://www.myjoyonline.com/can-rfk-jr-make-americas-diet-healthy-again/</v>
      </c>
      <c r="C3070" s="2" t="s">
        <v>2903</v>
      </c>
      <c r="D3070" s="3">
        <v>45620.210972222223</v>
      </c>
      <c r="E3070" s="2" t="s">
        <v>80</v>
      </c>
    </row>
    <row r="3071" spans="1:5" ht="70" x14ac:dyDescent="0.2">
      <c r="A3071" s="2" t="s">
        <v>782</v>
      </c>
      <c r="B3071" s="2" t="str">
        <f>HYPERLINK("https://lesactualites.news/monde/rfk-jr-peut-il-rendre-lalimentation-americaine-a-nouveau-saine/")</f>
        <v>https://lesactualites.news/monde/rfk-jr-peut-il-rendre-lalimentation-americaine-a-nouveau-saine/</v>
      </c>
      <c r="C3071" s="2" t="s">
        <v>734</v>
      </c>
      <c r="D3071" s="3">
        <v>45620.217164351852</v>
      </c>
      <c r="E3071" s="2" t="s">
        <v>783</v>
      </c>
    </row>
    <row r="3072" spans="1:5" ht="112" x14ac:dyDescent="0.2">
      <c r="A3072" s="2" t="s">
        <v>1167</v>
      </c>
      <c r="B3072" s="2" t="str">
        <f>HYPERLINK("https://www.newsdirectory3.com/rfk-jr-targets-ultra-processed-foods-could-his-health-agenda-transform-the-fda/")</f>
        <v>https://www.newsdirectory3.com/rfk-jr-targets-ultra-processed-foods-could-his-health-agenda-transform-the-fda/</v>
      </c>
      <c r="C3072" s="2" t="s">
        <v>1159</v>
      </c>
      <c r="D3072" s="3">
        <v>45620.247141203698</v>
      </c>
      <c r="E3072" s="2" t="s">
        <v>1168</v>
      </c>
    </row>
    <row r="3073" spans="1:5" ht="56" x14ac:dyDescent="0.2">
      <c r="A3073" s="2" t="s">
        <v>78</v>
      </c>
      <c r="B3073" s="2" t="str">
        <f>HYPERLINK("https://au.news.yahoo.com/rfk-jr-americas-diet-healthy-051223879.html")</f>
        <v>https://au.news.yahoo.com/rfk-jr-americas-diet-healthy-051223879.html</v>
      </c>
      <c r="C3073" s="2" t="s">
        <v>3069</v>
      </c>
      <c r="D3073" s="3">
        <v>45620.392384259263</v>
      </c>
      <c r="E3073" s="2" t="s">
        <v>3071</v>
      </c>
    </row>
    <row r="3074" spans="1:5" ht="56" x14ac:dyDescent="0.2">
      <c r="A3074" s="2" t="s">
        <v>496</v>
      </c>
      <c r="B3074" s="2" t="str">
        <f>HYPERLINK("https://www.newssniffer.co.uk/versions/15749067")</f>
        <v>https://www.newssniffer.co.uk/versions/15749067</v>
      </c>
      <c r="C3074" s="2" t="s">
        <v>496</v>
      </c>
      <c r="D3074" s="3">
        <v>45620.473298611112</v>
      </c>
      <c r="E3074" s="2" t="s">
        <v>80</v>
      </c>
    </row>
    <row r="3075" spans="1:5" ht="70" x14ac:dyDescent="0.2">
      <c r="A3075" s="2" t="s">
        <v>2567</v>
      </c>
      <c r="B3075" s="2" t="str">
        <f>HYPERLINK("https://www.syri.net/bote/742026/do-te-ndryshoje-menyren-si-hane-dhe-pine-amerikanet-a-mundet-rfk-jr-ta-beje-serish-te-shendetshme-dieten-e-amerikes/")</f>
        <v>https://www.syri.net/bote/742026/do-te-ndryshoje-menyren-si-hane-dhe-pine-amerikanet-a-mundet-rfk-jr-ta-beje-serish-te-shendetshme-dieten-e-amerikes/</v>
      </c>
      <c r="C3075" s="2" t="s">
        <v>2433</v>
      </c>
      <c r="D3075" s="3">
        <v>45620.611967592587</v>
      </c>
      <c r="E3075" s="2" t="s">
        <v>2568</v>
      </c>
    </row>
    <row r="3076" spans="1:5" ht="56" x14ac:dyDescent="0.2">
      <c r="A3076" s="2" t="s">
        <v>1854</v>
      </c>
      <c r="B3076" s="2" t="str">
        <f>HYPERLINK("https://www.issuewire.com/robert-f-kennedy-jr-is-trumps-choice-to-lead-dhhs-can-he-make-america-healthy-again-1816678873180501")</f>
        <v>https://www.issuewire.com/robert-f-kennedy-jr-is-trumps-choice-to-lead-dhhs-can-he-make-america-healthy-again-1816678873180501</v>
      </c>
      <c r="C3076" s="2" t="s">
        <v>1855</v>
      </c>
      <c r="D3076" s="3">
        <v>45620.982974537037</v>
      </c>
      <c r="E3076" s="2" t="s">
        <v>1856</v>
      </c>
    </row>
    <row r="3077" spans="1:5" ht="56" x14ac:dyDescent="0.2">
      <c r="A3077" s="2" t="s">
        <v>3996</v>
      </c>
      <c r="B3077" s="2" t="str">
        <f>HYPERLINK("https://www.newshealth.biz/health-news/can-rfk-jr-make-americas-diet-healthy-again/")</f>
        <v>https://www.newshealth.biz/health-news/can-rfk-jr-make-americas-diet-healthy-again/</v>
      </c>
      <c r="C3077" s="2" t="s">
        <v>3968</v>
      </c>
      <c r="D3077" s="3">
        <v>45621.154490740737</v>
      </c>
      <c r="E3077" s="2" t="s">
        <v>337</v>
      </c>
    </row>
    <row r="3078" spans="1:5" ht="56" x14ac:dyDescent="0.2">
      <c r="A3078" s="2" t="s">
        <v>335</v>
      </c>
      <c r="B3078" s="2" t="str">
        <f>HYPERLINK("https://news.tfionline.com/post/768108613872009216/monday-november-25-2024")</f>
        <v>https://news.tfionline.com/post/768108613872009216/monday-november-25-2024</v>
      </c>
      <c r="C3078" s="2" t="s">
        <v>336</v>
      </c>
      <c r="D3078" s="3">
        <v>45621.201226851852</v>
      </c>
      <c r="E3078" s="2" t="s">
        <v>337</v>
      </c>
    </row>
    <row r="3079" spans="1:5" ht="42" x14ac:dyDescent="0.2">
      <c r="A3079" s="2" t="s">
        <v>3633</v>
      </c>
      <c r="B3079" s="2" t="str">
        <f>HYPERLINK("https://www.washingtonpost.com/wellness/2024/11/25/sugar-substitutes-obesity-cancer-gut/")</f>
        <v>https://www.washingtonpost.com/wellness/2024/11/25/sugar-substitutes-obesity-cancer-gut/</v>
      </c>
      <c r="C3079" s="2" t="s">
        <v>3634</v>
      </c>
      <c r="D3079" s="3">
        <v>45621.596759259257</v>
      </c>
      <c r="E3079" s="2" t="s">
        <v>3635</v>
      </c>
    </row>
    <row r="3080" spans="1:5" ht="70" x14ac:dyDescent="0.2">
      <c r="A3080" s="2" t="s">
        <v>173</v>
      </c>
      <c r="B3080" s="2" t="str">
        <f>HYPERLINK("https://bitebi.com/industry-funded-study-of-the-week-plant-based-meat-alternatives/")</f>
        <v>https://bitebi.com/industry-funded-study-of-the-week-plant-based-meat-alternatives/</v>
      </c>
      <c r="C3080" s="2" t="s">
        <v>15</v>
      </c>
      <c r="D3080" s="3">
        <v>45621.741180555553</v>
      </c>
      <c r="E3080" s="2" t="s">
        <v>174</v>
      </c>
    </row>
    <row r="3081" spans="1:5" ht="112" x14ac:dyDescent="0.2">
      <c r="A3081" s="2" t="s">
        <v>3091</v>
      </c>
      <c r="B3081" s="2" t="str">
        <f>HYPERLINK("https://ekstrabladet.dk/nyheder/Udland/i-krig-mod-junkfood/10447381")</f>
        <v>https://ekstrabladet.dk/nyheder/Udland/i-krig-mod-junkfood/10447381</v>
      </c>
      <c r="C3081" s="2" t="s">
        <v>3092</v>
      </c>
      <c r="D3081" s="3">
        <v>45622.357430555552</v>
      </c>
      <c r="E3081" s="2" t="s">
        <v>3093</v>
      </c>
    </row>
    <row r="3082" spans="1:5" ht="56" x14ac:dyDescent="0.2">
      <c r="A3082" s="2" t="s">
        <v>2940</v>
      </c>
      <c r="B3082" s="2" t="str">
        <f>HYPERLINK("https://www.aol.co.uk/news/truth-raw-milk-why-experts-152046658.html")</f>
        <v>https://www.aol.co.uk/news/truth-raw-milk-why-experts-152046658.html</v>
      </c>
      <c r="C3082" s="2" t="s">
        <v>2925</v>
      </c>
      <c r="D3082" s="3">
        <v>45622.431087962963</v>
      </c>
      <c r="E3082" s="2" t="s">
        <v>2573</v>
      </c>
    </row>
    <row r="3083" spans="1:5" ht="56" x14ac:dyDescent="0.2">
      <c r="A3083" s="2" t="s">
        <v>2940</v>
      </c>
      <c r="B3083" s="2" t="str">
        <f>HYPERLINK("https://www.yahoo.com/news/truth-raw-milk-why-experts-152046941.html")</f>
        <v>https://www.yahoo.com/news/truth-raw-milk-why-experts-152046941.html</v>
      </c>
      <c r="C3083" s="2" t="s">
        <v>3728</v>
      </c>
      <c r="D3083" s="3">
        <v>45622.431087962963</v>
      </c>
      <c r="E3083" s="2" t="s">
        <v>2573</v>
      </c>
    </row>
    <row r="3084" spans="1:5" ht="56" x14ac:dyDescent="0.2">
      <c r="A3084" s="2" t="s">
        <v>2940</v>
      </c>
      <c r="B3084" s="2" t="str">
        <f>HYPERLINK("https://www.theguardian.com/wellness/2024/nov/26/what-is-unpasteurized-raw-milk")</f>
        <v>https://www.theguardian.com/wellness/2024/nov/26/what-is-unpasteurized-raw-milk</v>
      </c>
      <c r="C3084" s="2" t="s">
        <v>3686</v>
      </c>
      <c r="D3084" s="3">
        <v>45622.506354166668</v>
      </c>
      <c r="E3084" s="2" t="s">
        <v>2573</v>
      </c>
    </row>
    <row r="3085" spans="1:5" ht="56" x14ac:dyDescent="0.2">
      <c r="A3085" s="2" t="s">
        <v>657</v>
      </c>
      <c r="B3085" s="2" t="str">
        <f>HYPERLINK("https://eltiempolatino.com/2024/11/26/salud/70-de-tu-dieta-te-esta-enfermando-ultraprocesados/")</f>
        <v>https://eltiempolatino.com/2024/11/26/salud/70-de-tu-dieta-te-esta-enfermando-ultraprocesados/</v>
      </c>
      <c r="C3085" s="2" t="s">
        <v>1883</v>
      </c>
      <c r="D3085" s="3">
        <v>45622.538738425923</v>
      </c>
      <c r="E3085" s="2" t="s">
        <v>659</v>
      </c>
    </row>
    <row r="3086" spans="1:5" ht="56" x14ac:dyDescent="0.2">
      <c r="A3086" s="2" t="s">
        <v>4160</v>
      </c>
      <c r="B3086" s="2" t="str">
        <f>HYPERLINK("https://agfeed.com.br/campo-das-ideias/agronomidia/os-alimentos-do-futuro-e-os-bichos-que-voce-ainda-vai-comer/")</f>
        <v>https://agfeed.com.br/campo-das-ideias/agronomidia/os-alimentos-do-futuro-e-os-bichos-que-voce-ainda-vai-comer/</v>
      </c>
      <c r="C3086" s="2" t="s">
        <v>4161</v>
      </c>
      <c r="D3086" s="3">
        <v>45622.59716435185</v>
      </c>
      <c r="E3086" s="2" t="s">
        <v>4162</v>
      </c>
    </row>
    <row r="3087" spans="1:5" ht="84" x14ac:dyDescent="0.2">
      <c r="A3087" s="2" t="s">
        <v>3281</v>
      </c>
      <c r="B3087" s="2" t="str">
        <f>HYPERLINK("https://www.science.org/content/article/mixed-reactions-greet-trump-s-pick-longtime-fda-critic-head-agency")</f>
        <v>https://www.science.org/content/article/mixed-reactions-greet-trump-s-pick-longtime-fda-critic-head-agency</v>
      </c>
      <c r="C3087" s="2" t="s">
        <v>3282</v>
      </c>
      <c r="D3087" s="3">
        <v>45622.695833333331</v>
      </c>
      <c r="E3087" s="2" t="s">
        <v>3283</v>
      </c>
    </row>
    <row r="3088" spans="1:5" ht="98" x14ac:dyDescent="0.2">
      <c r="A3088" s="2" t="s">
        <v>2552</v>
      </c>
      <c r="B3088" s="2" t="str">
        <f>HYPERLINK("https://deal.town/the-american-prospect/the-infernal-triangle-dr-strangekennedy-P3AJ2HUG5KCL")</f>
        <v>https://deal.town/the-american-prospect/the-infernal-triangle-dr-strangekennedy-P3AJ2HUG5KCL</v>
      </c>
      <c r="C3088" s="2" t="s">
        <v>2546</v>
      </c>
      <c r="D3088" s="3">
        <v>45623</v>
      </c>
      <c r="E3088" s="2" t="s">
        <v>2553</v>
      </c>
    </row>
    <row r="3089" spans="1:5" ht="70" x14ac:dyDescent="0.2">
      <c r="A3089" s="2" t="s">
        <v>1482</v>
      </c>
      <c r="B3089" s="2" t="str">
        <f>HYPERLINK("https://prospect.org/politics/2024-11-27-dr-strangekennedy-jfk-jr/")</f>
        <v>https://prospect.org/politics/2024-11-27-dr-strangekennedy-jfk-jr/</v>
      </c>
      <c r="C3089" s="2" t="s">
        <v>2695</v>
      </c>
      <c r="D3089" s="3">
        <v>45623.234016203707</v>
      </c>
      <c r="E3089" s="2" t="s">
        <v>2696</v>
      </c>
    </row>
    <row r="3090" spans="1:5" ht="42" x14ac:dyDescent="0.2">
      <c r="A3090" s="2" t="s">
        <v>3161</v>
      </c>
      <c r="B3090" s="2" t="str">
        <f>HYPERLINK("https://ground.news/article/this-weeks-report-2-who-fao-food-politics-by-marion-nestle")</f>
        <v>https://ground.news/article/this-weeks-report-2-who-fao-food-politics-by-marion-nestle</v>
      </c>
      <c r="C3090" s="2" t="s">
        <v>3162</v>
      </c>
      <c r="D3090" s="3">
        <v>45623.375671296293</v>
      </c>
      <c r="E3090" s="2"/>
    </row>
    <row r="3091" spans="1:5" ht="70" x14ac:dyDescent="0.2">
      <c r="A3091" s="2" t="s">
        <v>1482</v>
      </c>
      <c r="B3091" s="2" t="str">
        <f>HYPERLINK("https://americanprospect.bluelena.io/index.php?action=social&amp;chash=e22cb9d6bbb4c290a94e4fff4d68a831.3059")</f>
        <v>https://americanprospect.bluelena.io/index.php?action=social&amp;chash=e22cb9d6bbb4c290a94e4fff4d68a831.3059</v>
      </c>
      <c r="C3091" s="2" t="s">
        <v>3882</v>
      </c>
      <c r="D3091" s="3">
        <v>45623.405648148153</v>
      </c>
      <c r="E3091" s="2" t="s">
        <v>2696</v>
      </c>
    </row>
    <row r="3092" spans="1:5" ht="84" x14ac:dyDescent="0.2">
      <c r="A3092" s="2" t="s">
        <v>1525</v>
      </c>
      <c r="B3092" s="2" t="str">
        <f>HYPERLINK("https://www.bakeryandsnacks.com/Article/2024/11/27/rfk-jrs-health-regulations-impact-on-bakery-snack-producers/")</f>
        <v>https://www.bakeryandsnacks.com/Article/2024/11/27/rfk-jrs-health-regulations-impact-on-bakery-snack-producers/</v>
      </c>
      <c r="C3092" s="2" t="s">
        <v>1526</v>
      </c>
      <c r="D3092" s="3">
        <v>45623.523935185192</v>
      </c>
      <c r="E3092" s="2" t="s">
        <v>1527</v>
      </c>
    </row>
    <row r="3093" spans="1:5" ht="84" x14ac:dyDescent="0.2">
      <c r="A3093" s="2" t="s">
        <v>2584</v>
      </c>
      <c r="B3093" s="2" t="str">
        <f>HYPERLINK("https://acento.com.do/france24/robert-kennedy-jr-la-ficha-polemica-de-trump-que-apunta-a-un-revolcon-en-la-salud-de-ee-uu-9427775.html")</f>
        <v>https://acento.com.do/france24/robert-kennedy-jr-la-ficha-polemica-de-trump-que-apunta-a-un-revolcon-en-la-salud-de-ee-uu-9427775.html</v>
      </c>
      <c r="C3093" s="2" t="s">
        <v>2585</v>
      </c>
      <c r="D3093" s="3">
        <v>45623.879918981482</v>
      </c>
      <c r="E3093" s="2" t="s">
        <v>2586</v>
      </c>
    </row>
    <row r="3094" spans="1:5" ht="84" x14ac:dyDescent="0.2">
      <c r="A3094" s="2" t="s">
        <v>3399</v>
      </c>
      <c r="B3094" s="2" t="str">
        <f>HYPERLINK("https://www.france24.com/es/ee-uu-y-canad%C3%A1/20241128-robert-kennedy-jr-la-ficha-pol%C3%A9mica-de-trump-que-apunta-a-un-revolc%C3%B3n-en-la-salud-de-ee-uu")</f>
        <v>https://www.france24.com/es/ee-uu-y-canad%C3%A1/20241128-robert-kennedy-jr-la-ficha-pol%C3%A9mica-de-trump-que-apunta-a-un-revolc%C3%B3n-en-la-salud-de-ee-uu</v>
      </c>
      <c r="C3094" s="2" t="s">
        <v>3400</v>
      </c>
      <c r="D3094" s="3">
        <v>45623.930254629631</v>
      </c>
      <c r="E3094" s="2" t="s">
        <v>3401</v>
      </c>
    </row>
    <row r="3095" spans="1:5" ht="84" x14ac:dyDescent="0.2">
      <c r="A3095" s="2" t="s">
        <v>339</v>
      </c>
      <c r="B3095" s="2" t="str">
        <f>HYPERLINK("https://www.news8000.com/lifestyle/money/despite-ozempic-and-rfk-jr-uncrustables-and-twinkies-believe-very-strongly-that-snacking-continues/article_c6d522cf-a9cb-5ecd-9341-c2f68e919022.html")</f>
        <v>https://www.news8000.com/lifestyle/money/despite-ozempic-and-rfk-jr-uncrustables-and-twinkies-believe-very-strongly-that-snacking-continues/article_c6d522cf-a9cb-5ecd-9341-c2f68e919022.html</v>
      </c>
      <c r="C3095" s="2" t="s">
        <v>2192</v>
      </c>
      <c r="D3095" s="3">
        <v>45624</v>
      </c>
      <c r="E3095" s="2" t="s">
        <v>1652</v>
      </c>
    </row>
    <row r="3096" spans="1:5" ht="70" x14ac:dyDescent="0.2">
      <c r="A3096" s="2" t="s">
        <v>339</v>
      </c>
      <c r="B3096" s="2" t="str">
        <f>HYPERLINK("https://ktvz.com/money/cnn-business-consumer/2024/11/28/despite-ozempic-and-rfk-jr-uncrustables-and-twinkies-believe-very-strongly-that-snacking-continues/")</f>
        <v>https://ktvz.com/money/cnn-business-consumer/2024/11/28/despite-ozempic-and-rfk-jr-uncrustables-and-twinkies-believe-very-strongly-that-snacking-continues/</v>
      </c>
      <c r="C3096" s="2" t="s">
        <v>2747</v>
      </c>
      <c r="D3096" s="3">
        <v>45624.292256944442</v>
      </c>
      <c r="E3096" s="2" t="s">
        <v>1652</v>
      </c>
    </row>
    <row r="3097" spans="1:5" ht="84" x14ac:dyDescent="0.2">
      <c r="A3097" s="2" t="s">
        <v>339</v>
      </c>
      <c r="B3097" s="2" t="str">
        <f>HYPERLINK("https://autos.yahoo.com/finance/news/despite-ozempic-rfk-jr-uncrustables-120051312.html")</f>
        <v>https://autos.yahoo.com/finance/news/despite-ozempic-rfk-jr-uncrustables-120051312.html</v>
      </c>
      <c r="C3097" s="2" t="s">
        <v>2873</v>
      </c>
      <c r="D3097" s="3">
        <v>45624.292256944442</v>
      </c>
      <c r="E3097" s="2" t="s">
        <v>2876</v>
      </c>
    </row>
    <row r="3098" spans="1:5" ht="84" x14ac:dyDescent="0.2">
      <c r="A3098" s="2" t="s">
        <v>339</v>
      </c>
      <c r="B3098" s="2" t="str">
        <f>HYPERLINK("https://finance.yahoo.com/news/despite-ozempic-rfk-jr-uncrustables-120051312.html")</f>
        <v>https://finance.yahoo.com/news/despite-ozempic-rfk-jr-uncrustables-120051312.html</v>
      </c>
      <c r="C3098" s="2" t="s">
        <v>3642</v>
      </c>
      <c r="D3098" s="3">
        <v>45624.292256944442</v>
      </c>
      <c r="E3098" s="2" t="s">
        <v>3643</v>
      </c>
    </row>
    <row r="3099" spans="1:5" ht="56" x14ac:dyDescent="0.2">
      <c r="A3099" s="2" t="s">
        <v>339</v>
      </c>
      <c r="B3099" s="2" t="str">
        <f>HYPERLINK("https://www.wral.com/story/despite-ozempic-and-rfk-jr-uncrustables-and-twinkies-believe-very-strongly-that-snacking-continues/21745079/")</f>
        <v>https://www.wral.com/story/despite-ozempic-and-rfk-jr-uncrustables-and-twinkies-believe-very-strongly-that-snacking-continues/21745079/</v>
      </c>
      <c r="C3099" s="2" t="s">
        <v>3185</v>
      </c>
      <c r="D3099" s="3">
        <v>45624.292511574073</v>
      </c>
      <c r="E3099" s="2" t="s">
        <v>1652</v>
      </c>
    </row>
    <row r="3100" spans="1:5" ht="84" x14ac:dyDescent="0.2">
      <c r="A3100" s="2" t="s">
        <v>339</v>
      </c>
      <c r="B3100" s="2" t="str">
        <f>HYPERLINK("https://abc17news.com/money/cnn-business-consumer/2024/11/28/despite-ozempic-and-rfk-jr-uncrustables-and-twinkies-believe-very-strongly-that-snacking-continues/")</f>
        <v>https://abc17news.com/money/cnn-business-consumer/2024/11/28/despite-ozempic-and-rfk-jr-uncrustables-and-twinkies-believe-very-strongly-that-snacking-continues/</v>
      </c>
      <c r="C3100" s="2" t="s">
        <v>2484</v>
      </c>
      <c r="D3100" s="3">
        <v>45624.296388888892</v>
      </c>
      <c r="E3100" s="2" t="s">
        <v>1652</v>
      </c>
    </row>
    <row r="3101" spans="1:5" ht="306" x14ac:dyDescent="0.2">
      <c r="A3101" s="2" t="s">
        <v>3708</v>
      </c>
      <c r="B3101" s="2" t="str">
        <f>HYPERLINK("https://www.cnn.com/2024/11/28/business/twinkies-uncrustables-rfk-jr/index.html")</f>
        <v>https://www.cnn.com/2024/11/28/business/twinkies-uncrustables-rfk-jr/index.html</v>
      </c>
      <c r="C3101" s="2" t="s">
        <v>3705</v>
      </c>
      <c r="D3101" s="3">
        <v>45624.296481481477</v>
      </c>
      <c r="E3101" s="2" t="s">
        <v>3709</v>
      </c>
    </row>
    <row r="3102" spans="1:5" ht="56" x14ac:dyDescent="0.2">
      <c r="A3102" s="2" t="s">
        <v>339</v>
      </c>
      <c r="B3102" s="2" t="str">
        <f>HYPERLINK("https://krdo.com/news/2024/11/28/despite-ozempic-and-rfk-jr-uncrustables-and-twinkies-believe-very-strongly-that-snacking-continues/")</f>
        <v>https://krdo.com/news/2024/11/28/despite-ozempic-and-rfk-jr-uncrustables-and-twinkies-believe-very-strongly-that-snacking-continues/</v>
      </c>
      <c r="C3102" s="2" t="s">
        <v>2558</v>
      </c>
      <c r="D3102" s="3">
        <v>45624.299467592587</v>
      </c>
      <c r="E3102" s="2" t="s">
        <v>1652</v>
      </c>
    </row>
    <row r="3103" spans="1:5" ht="70" x14ac:dyDescent="0.2">
      <c r="A3103" s="2" t="s">
        <v>2040</v>
      </c>
      <c r="B3103" s="2" t="str">
        <f>HYPERLINK("https://kesq.com/money/cnn-business-consumer/2024/11/28/despite-ozempic-and-rfk-jr-uncrustables-and-twinkies-believe-very-strongly-that-snacking-continues/")</f>
        <v>https://kesq.com/money/cnn-business-consumer/2024/11/28/despite-ozempic-and-rfk-jr-uncrustables-and-twinkies-believe-very-strongly-that-snacking-continues/</v>
      </c>
      <c r="C3103" s="2" t="s">
        <v>2448</v>
      </c>
      <c r="D3103" s="3">
        <v>45624.301064814812</v>
      </c>
      <c r="E3103" s="2" t="s">
        <v>2041</v>
      </c>
    </row>
    <row r="3104" spans="1:5" ht="84" x14ac:dyDescent="0.2">
      <c r="A3104" s="2" t="s">
        <v>339</v>
      </c>
      <c r="B3104" s="2" t="str">
        <f>HYPERLINK("https://keyt.com/news/money-and-business/cnn-business-consumer/2024/11/28/despite-ozempic-and-rfk-jr-uncrustables-and-twinkies-believe-very-strongly-that-snacking-continues/")</f>
        <v>https://keyt.com/news/money-and-business/cnn-business-consumer/2024/11/28/despite-ozempic-and-rfk-jr-uncrustables-and-twinkies-believe-very-strongly-that-snacking-continues/</v>
      </c>
      <c r="C3104" s="2" t="s">
        <v>2330</v>
      </c>
      <c r="D3104" s="3">
        <v>45624.305069444446</v>
      </c>
      <c r="E3104" s="2" t="s">
        <v>1652</v>
      </c>
    </row>
    <row r="3105" spans="1:5" ht="84" x14ac:dyDescent="0.2">
      <c r="A3105" s="2" t="s">
        <v>339</v>
      </c>
      <c r="B3105" s="2" t="str">
        <f>HYPERLINK("https://www.albanyherald.com/news/business/despite-ozempic-and-rfk-jr-uncrustables-and-twinkies-believe-very-strongly-that-snacking-continues/article_cef78714-8d0e-5a00-8cf8-688a71aa1417.html")</f>
        <v>https://www.albanyherald.com/news/business/despite-ozempic-and-rfk-jr-uncrustables-and-twinkies-believe-very-strongly-that-snacking-continues/article_cef78714-8d0e-5a00-8cf8-688a71aa1417.html</v>
      </c>
      <c r="C3105" s="2" t="s">
        <v>1936</v>
      </c>
      <c r="D3105" s="3">
        <v>45624.308923611112</v>
      </c>
      <c r="E3105" s="2" t="s">
        <v>1652</v>
      </c>
    </row>
    <row r="3106" spans="1:5" ht="84" x14ac:dyDescent="0.2">
      <c r="A3106" s="2" t="s">
        <v>2167</v>
      </c>
      <c r="B3106" s="2" t="str">
        <f>HYPERLINK("https://localnews8.com/money/cnn-business-consumer/2024/11/28/despite-ozempic-and-rfk-jr-uncrustables-and-twinkies-believe-very-strongly-that-snacking-continues/")</f>
        <v>https://localnews8.com/money/cnn-business-consumer/2024/11/28/despite-ozempic-and-rfk-jr-uncrustables-and-twinkies-believe-very-strongly-that-snacking-continues/</v>
      </c>
      <c r="C3106" s="2" t="s">
        <v>2164</v>
      </c>
      <c r="D3106" s="3">
        <v>45624.309247685182</v>
      </c>
      <c r="E3106" s="2" t="s">
        <v>1652</v>
      </c>
    </row>
    <row r="3107" spans="1:5" ht="84" x14ac:dyDescent="0.2">
      <c r="A3107" s="2" t="s">
        <v>339</v>
      </c>
      <c r="B3107" s="2" t="str">
        <f>HYPERLINK("https://kion546.com/money/cnn-business-consumer/2024/11/28/despite-ozempic-and-rfk-jr-uncrustables-and-twinkies-believe-very-strongly-that-snacking-continues/")</f>
        <v>https://kion546.com/money/cnn-business-consumer/2024/11/28/despite-ozempic-and-rfk-jr-uncrustables-and-twinkies-believe-very-strongly-that-snacking-continues/</v>
      </c>
      <c r="C3107" s="2" t="s">
        <v>1955</v>
      </c>
      <c r="D3107" s="3">
        <v>45624.310069444437</v>
      </c>
      <c r="E3107" s="2" t="s">
        <v>1652</v>
      </c>
    </row>
    <row r="3108" spans="1:5" ht="84" x14ac:dyDescent="0.2">
      <c r="A3108" s="2" t="s">
        <v>339</v>
      </c>
      <c r="B3108" s="2" t="str">
        <f>HYPERLINK("https://kvia.com/news/business-technology/cnn-business-consumer/2024/11/28/despite-ozempic-and-rfk-jr-uncrustables-and-twinkies-believe-very-strongly-that-snacking-continues/")</f>
        <v>https://kvia.com/news/business-technology/cnn-business-consumer/2024/11/28/despite-ozempic-and-rfk-jr-uncrustables-and-twinkies-believe-very-strongly-that-snacking-continues/</v>
      </c>
      <c r="C3108" s="2" t="s">
        <v>2358</v>
      </c>
      <c r="D3108" s="3">
        <v>45624.311944444453</v>
      </c>
      <c r="E3108" s="2" t="s">
        <v>1652</v>
      </c>
    </row>
    <row r="3109" spans="1:5" ht="84" x14ac:dyDescent="0.2">
      <c r="A3109" s="2" t="s">
        <v>339</v>
      </c>
      <c r="B3109" s="2" t="str">
        <f>HYPERLINK("https://www.wsiltv.com/news/consumer/despite-ozempic-and-rfk-jr-uncrustables-and-twinkies-believe-very-strongly-that-snacking-continues/article_271bfb94-53a5-5e52-a073-5d2b429f52af.html")</f>
        <v>https://www.wsiltv.com/news/consumer/despite-ozempic-and-rfk-jr-uncrustables-and-twinkies-believe-very-strongly-that-snacking-continues/article_271bfb94-53a5-5e52-a073-5d2b429f52af.html</v>
      </c>
      <c r="C3109" s="2" t="s">
        <v>2232</v>
      </c>
      <c r="D3109" s="3">
        <v>45624.327997685177</v>
      </c>
      <c r="E3109" s="2" t="s">
        <v>1652</v>
      </c>
    </row>
    <row r="3110" spans="1:5" ht="84" x14ac:dyDescent="0.2">
      <c r="A3110" s="2" t="s">
        <v>339</v>
      </c>
      <c r="B3110" s="2" t="str">
        <f>HYPERLINK("https://www.channel3000.com/news/money/despite-ozempic-and-rfk-jr-uncrustables-and-twinkies-believe-very-strongly-that-snacking-continues/article_da1f5ecc-8eef-5c91-a779-410c61cbecf5.html")</f>
        <v>https://www.channel3000.com/news/money/despite-ozempic-and-rfk-jr-uncrustables-and-twinkies-believe-very-strongly-that-snacking-continues/article_da1f5ecc-8eef-5c91-a779-410c61cbecf5.html</v>
      </c>
      <c r="C3110" s="2" t="s">
        <v>2760</v>
      </c>
      <c r="D3110" s="3">
        <v>45624.328298611108</v>
      </c>
      <c r="E3110" s="2" t="s">
        <v>1652</v>
      </c>
    </row>
    <row r="3111" spans="1:5" ht="70" x14ac:dyDescent="0.2">
      <c r="A3111" s="2" t="s">
        <v>339</v>
      </c>
      <c r="B3111" s="2" t="str">
        <f>HYPERLINK("https://www.kxly.com/news/money/despite-ozempic-and-rfk-jr-uncrustables-and-twinkies-believe-very-strongly-that-snacking-continues/article_b6258382-244d-591d-a47f-60c757cbe2a4.html")</f>
        <v>https://www.kxly.com/news/money/despite-ozempic-and-rfk-jr-uncrustables-and-twinkies-believe-very-strongly-that-snacking-continues/article_b6258382-244d-591d-a47f-60c757cbe2a4.html</v>
      </c>
      <c r="C3111" s="2" t="s">
        <v>2299</v>
      </c>
      <c r="D3111" s="3">
        <v>45624.330150462964</v>
      </c>
      <c r="E3111" s="2" t="s">
        <v>1652</v>
      </c>
    </row>
    <row r="3112" spans="1:5" ht="56" x14ac:dyDescent="0.2">
      <c r="A3112" s="2" t="s">
        <v>2040</v>
      </c>
      <c r="B3112" s="2" t="str">
        <f>HYPERLINK("https://www.aol.com/finance/despite-ozempic-rfk-jr-uncrustables-120051456.html")</f>
        <v>https://www.aol.com/finance/despite-ozempic-rfk-jr-uncrustables-120051456.html</v>
      </c>
      <c r="C3112" s="2" t="s">
        <v>3592</v>
      </c>
      <c r="D3112" s="3">
        <v>45624.345254629632</v>
      </c>
      <c r="E3112" s="2" t="s">
        <v>2041</v>
      </c>
    </row>
    <row r="3113" spans="1:5" ht="84" x14ac:dyDescent="0.2">
      <c r="A3113" s="2" t="s">
        <v>339</v>
      </c>
      <c r="B3113" s="2" t="str">
        <f>HYPERLINK("https://www.crossroadstoday.com/news/health/despite-ozempic-and-rfk-jr-uncrustables-and-twinkies-believe-very-strongly-that-snacking-continues/article_cb08bb18-549c-55ea-ac73-a142eae8e7d8.html")</f>
        <v>https://www.crossroadstoday.com/news/health/despite-ozempic-and-rfk-jr-uncrustables-and-twinkies-believe-very-strongly-that-snacking-continues/article_cb08bb18-549c-55ea-ac73-a142eae8e7d8.html</v>
      </c>
      <c r="C3113" s="2" t="s">
        <v>1821</v>
      </c>
      <c r="D3113" s="3">
        <v>45624.357488425929</v>
      </c>
      <c r="E3113" s="2" t="s">
        <v>1652</v>
      </c>
    </row>
    <row r="3114" spans="1:5" ht="70" x14ac:dyDescent="0.2">
      <c r="A3114" s="2" t="s">
        <v>339</v>
      </c>
      <c r="B3114" s="2" t="str">
        <f>HYPERLINK("https://news.lee.net/partners/cnn/despite-ozempic-and-rfk-jr-uncrustables-and-twinkies-believe-very-strongly-that-snacking-continues/article_610b6b23-dcb0-55fe-9450-a80c441b4982.html")</f>
        <v>https://news.lee.net/partners/cnn/despite-ozempic-and-rfk-jr-uncrustables-and-twinkies-believe-very-strongly-that-snacking-continues/article_610b6b23-dcb0-55fe-9450-a80c441b4982.html</v>
      </c>
      <c r="C3114" s="2" t="s">
        <v>1651</v>
      </c>
      <c r="D3114" s="3">
        <v>45624.360636574071</v>
      </c>
      <c r="E3114" s="2" t="s">
        <v>1652</v>
      </c>
    </row>
    <row r="3115" spans="1:5" ht="70" x14ac:dyDescent="0.2">
      <c r="A3115" s="2" t="s">
        <v>750</v>
      </c>
      <c r="B3115" s="2" t="str">
        <f>HYPERLINK("https://espanol.news/a-pesar-de-ozempic-y-rfk-jr-uncrustables-y-twinkies-creen-muy-firmemente-que-los-snacks-continuan/")</f>
        <v>https://espanol.news/a-pesar-de-ozempic-y-rfk-jr-uncrustables-y-twinkies-creen-muy-firmemente-que-los-snacks-continuan/</v>
      </c>
      <c r="C3115" s="2" t="s">
        <v>747</v>
      </c>
      <c r="D3115" s="3">
        <v>45624.420069444437</v>
      </c>
      <c r="E3115" s="2" t="s">
        <v>751</v>
      </c>
    </row>
    <row r="3116" spans="1:5" ht="84" x14ac:dyDescent="0.2">
      <c r="A3116" s="2" t="s">
        <v>2112</v>
      </c>
      <c r="B3116" s="2" t="str">
        <f>HYPERLINK("https://www.klamm.de/news/twinkies-vs-gesundheitspolitik-die-unstillbare-snacklust-der-amerikaner-64N20241128162713.html")</f>
        <v>https://www.klamm.de/news/twinkies-vs-gesundheitspolitik-die-unstillbare-snacklust-der-amerikaner-64N20241128162713.html</v>
      </c>
      <c r="C3116" s="2" t="s">
        <v>2113</v>
      </c>
      <c r="D3116" s="3">
        <v>45624.435567129629</v>
      </c>
      <c r="E3116" s="2" t="s">
        <v>2114</v>
      </c>
    </row>
    <row r="3117" spans="1:5" ht="84" x14ac:dyDescent="0.2">
      <c r="A3117" s="2" t="s">
        <v>4204</v>
      </c>
      <c r="B3117" s="2" t="str">
        <f>HYPERLINK("https://eulerpool.com/news/all/twinkies-vs-gesundheitspolitik-die-unstillbare-snacklust-der-amerikaner")</f>
        <v>https://eulerpool.com/news/all/twinkies-vs-gesundheitspolitik-die-unstillbare-snacklust-der-amerikaner</v>
      </c>
      <c r="C3117" s="2" t="s">
        <v>4205</v>
      </c>
      <c r="D3117" s="3">
        <v>45624.435567129629</v>
      </c>
      <c r="E3117" s="2" t="s">
        <v>2114</v>
      </c>
    </row>
    <row r="3118" spans="1:5" ht="84" x14ac:dyDescent="0.2">
      <c r="A3118" s="2" t="s">
        <v>3270</v>
      </c>
      <c r="B3118" s="2" t="str">
        <f>HYPERLINK("https://www.proceso.com.mx/internacional/2024/11/28/robert-kennedy-jr-la-ficha-polemica-de-trump-que-apunta-un-revolcon-en-la-salud-de-eu-341155.html")</f>
        <v>https://www.proceso.com.mx/internacional/2024/11/28/robert-kennedy-jr-la-ficha-polemica-de-trump-que-apunta-un-revolcon-en-la-salud-de-eu-341155.html</v>
      </c>
      <c r="C3118" s="2" t="s">
        <v>3271</v>
      </c>
      <c r="D3118" s="3">
        <v>45624.520902777767</v>
      </c>
      <c r="E3118" s="2" t="s">
        <v>3272</v>
      </c>
    </row>
    <row r="3119" spans="1:5" ht="70" x14ac:dyDescent="0.2">
      <c r="A3119" s="2" t="s">
        <v>2040</v>
      </c>
      <c r="B3119" s="2" t="str">
        <f>HYPERLINK("https://www.kwwl.com/news/national/despite-ozempic-and-rfk-jr-uncrustables-and-twinkies-believe-very-strongly-that-snacking-continues/article_ae8eded9-403c-5a4b-bf57-4f981fa75236.html")</f>
        <v>https://www.kwwl.com/news/national/despite-ozempic-and-rfk-jr-uncrustables-and-twinkies-believe-very-strongly-that-snacking-continues/article_ae8eded9-403c-5a4b-bf57-4f981fa75236.html</v>
      </c>
      <c r="C3119" s="2" t="s">
        <v>2350</v>
      </c>
      <c r="D3119" s="3">
        <v>45624.551851851851</v>
      </c>
      <c r="E3119" s="2" t="s">
        <v>2041</v>
      </c>
    </row>
    <row r="3120" spans="1:5" ht="70" x14ac:dyDescent="0.2">
      <c r="A3120" s="2" t="s">
        <v>339</v>
      </c>
      <c r="B3120" s="2" t="str">
        <f>HYPERLINK("https://www.waaytv.com/despite-ozempic-and-rfk-jr-uncrustables-and-twinkies-believe-very-strongly-that-snacking-continues/article_04db623f-3f66-5d52-93ba-379abb1b1507.html")</f>
        <v>https://www.waaytv.com/despite-ozempic-and-rfk-jr-uncrustables-and-twinkies-believe-very-strongly-that-snacking-continues/article_04db623f-3f66-5d52-93ba-379abb1b1507.html</v>
      </c>
      <c r="C3120" s="2" t="s">
        <v>2278</v>
      </c>
      <c r="D3120" s="3">
        <v>45624.581250000003</v>
      </c>
      <c r="E3120" s="2" t="s">
        <v>1652</v>
      </c>
    </row>
    <row r="3121" spans="1:5" ht="98" x14ac:dyDescent="0.2">
      <c r="A3121" s="2" t="s">
        <v>2520</v>
      </c>
      <c r="B3121" s="2" t="str">
        <f>HYPERLINK("https://www.inkl.com/news/twinkies-owner-declares-snacking-continues-even-under-rfk-jr-s-make-america-health-again-agenda")</f>
        <v>https://www.inkl.com/news/twinkies-owner-declares-snacking-continues-even-under-rfk-jr-s-make-america-health-again-agenda</v>
      </c>
      <c r="C3121" s="2" t="s">
        <v>2569</v>
      </c>
      <c r="D3121" s="3">
        <v>45624.610590277778</v>
      </c>
      <c r="E3121" s="2" t="s">
        <v>2626</v>
      </c>
    </row>
    <row r="3122" spans="1:5" ht="56" x14ac:dyDescent="0.2">
      <c r="A3122" s="2" t="s">
        <v>2792</v>
      </c>
      <c r="B3122" s="2" t="str">
        <f>HYPERLINK("https://www.independent.co.uk/news/world/americas/us-politics/twinkies-uncrustables-rfk-jr-food-policy-b2655599.html")</f>
        <v>https://www.independent.co.uk/news/world/americas/us-politics/twinkies-uncrustables-rfk-jr-food-policy-b2655599.html</v>
      </c>
      <c r="C3122" s="2" t="s">
        <v>3649</v>
      </c>
      <c r="D3122" s="3">
        <v>45624.613321759258</v>
      </c>
      <c r="E3122" s="2" t="s">
        <v>2521</v>
      </c>
    </row>
    <row r="3123" spans="1:5" ht="56" x14ac:dyDescent="0.2">
      <c r="A3123" s="2" t="s">
        <v>2520</v>
      </c>
      <c r="B3123" s="2" t="str">
        <f>HYPERLINK("https://nz.news.yahoo.com/twinkies-owner-declares-snacking-continues-194539554.html")</f>
        <v>https://nz.news.yahoo.com/twinkies-owner-declares-snacking-continues-194539554.html</v>
      </c>
      <c r="C3123" s="2" t="s">
        <v>2518</v>
      </c>
      <c r="D3123" s="3">
        <v>45624.615034722221</v>
      </c>
      <c r="E3123" s="2" t="s">
        <v>2521</v>
      </c>
    </row>
    <row r="3124" spans="1:5" ht="98" x14ac:dyDescent="0.2">
      <c r="A3124" s="2" t="s">
        <v>2520</v>
      </c>
      <c r="B3124" s="2" t="str">
        <f>HYPERLINK("https://malaysia.news.yahoo.com/twinkies-owner-declares-snacking-continues-194539554.html")</f>
        <v>https://malaysia.news.yahoo.com/twinkies-owner-declares-snacking-continues-194539554.html</v>
      </c>
      <c r="C3124" s="2" t="s">
        <v>2674</v>
      </c>
      <c r="D3124" s="3">
        <v>45624.615034722221</v>
      </c>
      <c r="E3124" s="2" t="s">
        <v>2626</v>
      </c>
    </row>
    <row r="3125" spans="1:5" ht="56" x14ac:dyDescent="0.2">
      <c r="A3125" s="2" t="s">
        <v>3074</v>
      </c>
      <c r="B3125" s="2" t="str">
        <f>HYPERLINK("https://au.news.yahoo.com/twinkies-owner-declares-snacking-continues-194539554.html")</f>
        <v>https://au.news.yahoo.com/twinkies-owner-declares-snacking-continues-194539554.html</v>
      </c>
      <c r="C3125" s="2" t="s">
        <v>3069</v>
      </c>
      <c r="D3125" s="3">
        <v>45624.615034722221</v>
      </c>
      <c r="E3125" s="2" t="s">
        <v>3075</v>
      </c>
    </row>
    <row r="3126" spans="1:5" ht="56" x14ac:dyDescent="0.2">
      <c r="A3126" s="2" t="s">
        <v>3074</v>
      </c>
      <c r="B3126" s="2" t="str">
        <f>HYPERLINK("https://www.aol.com/news/twinkies-owner-declares-snacking-continues-194539195.html")</f>
        <v>https://www.aol.com/news/twinkies-owner-declares-snacking-continues-194539195.html</v>
      </c>
      <c r="C3126" s="2" t="s">
        <v>3592</v>
      </c>
      <c r="D3126" s="3">
        <v>45624.615034722221</v>
      </c>
      <c r="E3126" s="2" t="s">
        <v>3075</v>
      </c>
    </row>
    <row r="3127" spans="1:5" ht="56" x14ac:dyDescent="0.2">
      <c r="A3127" s="2" t="s">
        <v>2520</v>
      </c>
      <c r="B3127" s="2" t="str">
        <f>HYPERLINK("https://ca.news.yahoo.com/twinkies-owner-declares-snacking-continues-194539554.html")</f>
        <v>https://ca.news.yahoo.com/twinkies-owner-declares-snacking-continues-194539554.html</v>
      </c>
      <c r="C3127" s="2" t="s">
        <v>3097</v>
      </c>
      <c r="D3127" s="3">
        <v>45624.619641203702</v>
      </c>
      <c r="E3127" s="2" t="s">
        <v>2521</v>
      </c>
    </row>
    <row r="3128" spans="1:5" ht="56" x14ac:dyDescent="0.2">
      <c r="A3128" s="2" t="s">
        <v>2792</v>
      </c>
      <c r="B3128" s="2" t="str">
        <f>HYPERLINK("https://www.the-independent.com/news/world/americas/us-politics/twinkies-uncrustables-rfk-jr-food-policy-b2655599.html")</f>
        <v>https://www.the-independent.com/news/world/americas/us-politics/twinkies-uncrustables-rfk-jr-food-policy-b2655599.html</v>
      </c>
      <c r="C3128" s="2" t="s">
        <v>2791</v>
      </c>
      <c r="D3128" s="3">
        <v>45624.627430555563</v>
      </c>
      <c r="E3128" s="2" t="s">
        <v>2521</v>
      </c>
    </row>
    <row r="3129" spans="1:5" ht="56" x14ac:dyDescent="0.2">
      <c r="A3129" s="2" t="s">
        <v>3985</v>
      </c>
      <c r="B3129" s="2" t="str">
        <f>HYPERLINK("https://www.it-boltwise.de/snackkonsum-in-den-usa-trotzt-gesundheitspolitischen-bemuehungen.html")</f>
        <v>https://www.it-boltwise.de/snackkonsum-in-den-usa-trotzt-gesundheitspolitischen-bemuehungen.html</v>
      </c>
      <c r="C3129" s="2" t="s">
        <v>3986</v>
      </c>
      <c r="D3129" s="3">
        <v>45624.725798611107</v>
      </c>
      <c r="E3129" s="2" t="s">
        <v>3987</v>
      </c>
    </row>
    <row r="3130" spans="1:5" ht="56" x14ac:dyDescent="0.2">
      <c r="A3130" s="2" t="s">
        <v>116</v>
      </c>
      <c r="B3130" s="2" t="str">
        <f>HYPERLINK("https://newsnetdaily.com/despite-ozempic-and-rfk-jr-uncrustables-and-twinkies-believe-very-strongly-that-snacking-continues/")</f>
        <v>https://newsnetdaily.com/despite-ozempic-and-rfk-jr-uncrustables-and-twinkies-believe-very-strongly-that-snacking-continues/</v>
      </c>
      <c r="C3130" s="2" t="s">
        <v>6</v>
      </c>
      <c r="D3130" s="3">
        <v>45624.894988425927</v>
      </c>
      <c r="E3130" s="2" t="s">
        <v>117</v>
      </c>
    </row>
    <row r="3131" spans="1:5" ht="70" x14ac:dyDescent="0.2">
      <c r="A3131" s="2" t="s">
        <v>339</v>
      </c>
      <c r="B3131" s="2" t="str">
        <f>HYPERLINK("https://www.kdrv.com/news/national/despite-ozempic-and-rfk-jr-uncrustables-and-twinkies-believe-very-strongly-that-snacking-continues/article_31f4359d-09df-500d-8390-39764b2c4e0f.html")</f>
        <v>https://www.kdrv.com/news/national/despite-ozempic-and-rfk-jr-uncrustables-and-twinkies-believe-very-strongly-that-snacking-continues/article_31f4359d-09df-500d-8390-39764b2c4e0f.html</v>
      </c>
      <c r="C3131" s="2" t="s">
        <v>2152</v>
      </c>
      <c r="D3131" s="3">
        <v>45624.903437499997</v>
      </c>
      <c r="E3131" s="2" t="s">
        <v>1652</v>
      </c>
    </row>
    <row r="3132" spans="1:5" ht="112" x14ac:dyDescent="0.2">
      <c r="A3132" s="2" t="s">
        <v>1203</v>
      </c>
      <c r="B3132" s="2" t="str">
        <f>HYPERLINK("https://www.foodnewslatam.com/inocuidad/53-control-calidad/15735-el-impacto-de-los-alimentos-ultraprocesados-en-la-salud-un-experimento-innovador-en-eeuu.html")</f>
        <v>https://www.foodnewslatam.com/inocuidad/53-control-calidad/15735-el-impacto-de-los-alimentos-ultraprocesados-en-la-salud-un-experimento-innovador-en-eeuu.html</v>
      </c>
      <c r="C3132" s="2" t="s">
        <v>1124</v>
      </c>
      <c r="D3132" s="3">
        <v>45625.000254629631</v>
      </c>
      <c r="E3132" s="2" t="s">
        <v>1204</v>
      </c>
    </row>
    <row r="3133" spans="1:5" ht="56" x14ac:dyDescent="0.2">
      <c r="A3133" s="2" t="s">
        <v>339</v>
      </c>
      <c r="B3133" s="2" t="str">
        <f>HYPERLINK("https://ustimesmirror.com/despite-ozempic-and-rfk-jr-uncrustables-and-twinkies-believe-very-strongly-that-snacking-continues/")</f>
        <v>https://ustimesmirror.com/despite-ozempic-and-rfk-jr-uncrustables-and-twinkies-believe-very-strongly-that-snacking-continues/</v>
      </c>
      <c r="C3133" s="2" t="s">
        <v>340</v>
      </c>
      <c r="D3133" s="3">
        <v>45625.185694444437</v>
      </c>
      <c r="E3133" s="2" t="s">
        <v>341</v>
      </c>
    </row>
    <row r="3134" spans="1:5" ht="70" x14ac:dyDescent="0.2">
      <c r="A3134" s="2" t="s">
        <v>2040</v>
      </c>
      <c r="B3134" s="2" t="str">
        <f>HYPERLINK("https://www.wthitv.com/news/despite-ozempic-and-rfk-jr-uncrustables-and-twinkies-believe-very-strongly-that-snacking-continues/article_48243de0-f812-5bb3-90ce-893a817385f2.html")</f>
        <v>https://www.wthitv.com/news/despite-ozempic-and-rfk-jr-uncrustables-and-twinkies-believe-very-strongly-that-snacking-continues/article_48243de0-f812-5bb3-90ce-893a817385f2.html</v>
      </c>
      <c r="C3134" s="2" t="s">
        <v>2039</v>
      </c>
      <c r="D3134" s="3">
        <v>45625.479849537027</v>
      </c>
      <c r="E3134" s="2" t="s">
        <v>2041</v>
      </c>
    </row>
    <row r="3135" spans="1:5" ht="56" x14ac:dyDescent="0.2">
      <c r="A3135" s="2" t="s">
        <v>2520</v>
      </c>
      <c r="B3135" s="2" t="str">
        <f>HYPERLINK("https://newsbeyonddetroit.net/2024/11/29/twinkies-owner-declares-snacking-continues-even-under-rfk-jr-s-make-america-healthy-again-agenda/")</f>
        <v>https://newsbeyonddetroit.net/2024/11/29/twinkies-owner-declares-snacking-continues-even-under-rfk-jr-s-make-america-healthy-again-agenda/</v>
      </c>
      <c r="C3135" s="2" t="s">
        <v>3787</v>
      </c>
      <c r="D3135" s="3">
        <v>45625.480231481481</v>
      </c>
      <c r="E3135" s="2" t="s">
        <v>2521</v>
      </c>
    </row>
    <row r="3136" spans="1:5" ht="70" x14ac:dyDescent="0.2">
      <c r="A3136" s="2" t="s">
        <v>1482</v>
      </c>
      <c r="B3136" s="2" t="str">
        <f>HYPERLINK("https://portside.org/2024-11-29/dr-strangekennedy")</f>
        <v>https://portside.org/2024-11-29/dr-strangekennedy</v>
      </c>
      <c r="C3136" s="2" t="s">
        <v>1456</v>
      </c>
      <c r="D3136" s="3">
        <v>45625.841666666667</v>
      </c>
      <c r="E3136" s="2" t="s">
        <v>1483</v>
      </c>
    </row>
    <row r="3137" spans="1:5" ht="70" x14ac:dyDescent="0.2">
      <c r="A3137" s="2" t="s">
        <v>784</v>
      </c>
      <c r="B3137" s="2" t="str">
        <f>HYPERLINK("https://lesactualites.news/sante/la-verite-sur-le-lait-cru-et-pourquoi-les-experts-sont-absolument-horrifies-par-cette-tendance-eh-bien-en-fait/")</f>
        <v>https://lesactualites.news/sante/la-verite-sur-le-lait-cru-et-pourquoi-les-experts-sont-absolument-horrifies-par-cette-tendance-eh-bien-en-fait/</v>
      </c>
      <c r="C3137" s="2" t="s">
        <v>734</v>
      </c>
      <c r="D3137" s="3">
        <v>45626.382025462961</v>
      </c>
      <c r="E3137" s="2" t="s">
        <v>785</v>
      </c>
    </row>
    <row r="3138" spans="1:5" ht="42" x14ac:dyDescent="0.2">
      <c r="A3138" s="2" t="s">
        <v>36</v>
      </c>
      <c r="B3138" s="2" t="str">
        <f>HYPERLINK("https://healthmedicinet.com/hmn-2024-nutritionists-weigh-in-on-us-dietary-guidelines/")</f>
        <v>https://healthmedicinet.com/hmn-2024-nutritionists-weigh-in-on-us-dietary-guidelines/</v>
      </c>
      <c r="C3138" s="2" t="s">
        <v>37</v>
      </c>
      <c r="D3138" s="3">
        <v>45627</v>
      </c>
      <c r="E3138" s="2" t="s">
        <v>38</v>
      </c>
    </row>
    <row r="3139" spans="1:5" ht="252" x14ac:dyDescent="0.2">
      <c r="A3139" s="2" t="s">
        <v>3905</v>
      </c>
      <c r="B3139" s="2" t="str">
        <f>HYPERLINK("https://viisitahtea.com/artikkelit/ruokasuositus-jakaa-ihmiset-hyviin-ja-huonoihin-kansalaisiin-lopputuloksena-on-auktoriteettiuskon-rapautuminen/")</f>
        <v>https://viisitahtea.com/artikkelit/ruokasuositus-jakaa-ihmiset-hyviin-ja-huonoihin-kansalaisiin-lopputuloksena-on-auktoriteettiuskon-rapautuminen/</v>
      </c>
      <c r="C3139" s="2" t="s">
        <v>3906</v>
      </c>
      <c r="D3139" s="3">
        <v>45627.094282407408</v>
      </c>
      <c r="E3139" s="2" t="s">
        <v>3907</v>
      </c>
    </row>
    <row r="3140" spans="1:5" ht="56" x14ac:dyDescent="0.2">
      <c r="A3140" s="2" t="s">
        <v>339</v>
      </c>
      <c r="B3140" s="2" t="str">
        <f>HYPERLINK("https://headtopics.com/us/despite-ozempic-and-rfk-jr-uncrustables-and-twinkies-62795867")</f>
        <v>https://headtopics.com/us/despite-ozempic-and-rfk-jr-uncrustables-and-twinkies-62795867</v>
      </c>
      <c r="C3140" s="2" t="s">
        <v>2534</v>
      </c>
      <c r="D3140" s="3">
        <v>45627.472916666673</v>
      </c>
      <c r="E3140" s="2" t="s">
        <v>1652</v>
      </c>
    </row>
    <row r="3141" spans="1:5" ht="56" x14ac:dyDescent="0.2">
      <c r="A3141" s="2" t="s">
        <v>657</v>
      </c>
      <c r="B3141" s="2" t="str">
        <f>HYPERLINK("https://www.hechoencalifornia1010.com/70-de-tu-dieta-te-esta-enfermando-el-peligro-de-los-ultraprocesados/")</f>
        <v>https://www.hechoencalifornia1010.com/70-de-tu-dieta-te-esta-enfermando-el-peligro-de-los-ultraprocesados/</v>
      </c>
      <c r="C3141" s="2" t="s">
        <v>658</v>
      </c>
      <c r="D3141" s="3">
        <v>45627.702951388892</v>
      </c>
      <c r="E3141" s="2" t="s">
        <v>659</v>
      </c>
    </row>
    <row r="3142" spans="1:5" ht="84" x14ac:dyDescent="0.2">
      <c r="A3142" s="2" t="s">
        <v>3236</v>
      </c>
      <c r="B3142" s="2" t="str">
        <f>HYPERLINK("https://www.bostonglobe.com/2024/12/02/metro/ultraprocessed-foods-rfk-jr-harvard-michelle-obama/")</f>
        <v>https://www.bostonglobe.com/2024/12/02/metro/ultraprocessed-foods-rfk-jr-harvard-michelle-obama/</v>
      </c>
      <c r="C3142" s="2" t="s">
        <v>3237</v>
      </c>
      <c r="D3142" s="3">
        <v>45628.341099537043</v>
      </c>
      <c r="E3142" s="2" t="s">
        <v>3238</v>
      </c>
    </row>
    <row r="3143" spans="1:5" ht="112" x14ac:dyDescent="0.2">
      <c r="A3143" s="2" t="s">
        <v>1948</v>
      </c>
      <c r="B3143" s="2" t="str">
        <f>HYPERLINK("https://www.newswise.com/articles/2024-bloomberg-american-health-summit-in-washington-d-c-to-spotlight-concrete-ways-to-advance-public-health-amid-political-division2")</f>
        <v>https://www.newswise.com/articles/2024-bloomberg-american-health-summit-in-washington-d-c-to-spotlight-concrete-ways-to-advance-public-health-amid-political-division2</v>
      </c>
      <c r="C3143" s="2" t="s">
        <v>1946</v>
      </c>
      <c r="D3143" s="3">
        <v>45628.944386574083</v>
      </c>
      <c r="E3143" s="2" t="s">
        <v>1947</v>
      </c>
    </row>
    <row r="3144" spans="1:5" ht="42" x14ac:dyDescent="0.2">
      <c r="A3144" s="2" t="s">
        <v>3163</v>
      </c>
      <c r="B3144" s="2" t="str">
        <f>HYPERLINK("https://ground.news/article/ultra-processed-foods-and-calories-more-evidence-food-politics-by-marion-nestle")</f>
        <v>https://ground.news/article/ultra-processed-foods-and-calories-more-evidence-food-politics-by-marion-nestle</v>
      </c>
      <c r="C3144" s="2" t="s">
        <v>3162</v>
      </c>
      <c r="D3144" s="3">
        <v>45629.375277777777</v>
      </c>
      <c r="E3144" s="2"/>
    </row>
    <row r="3145" spans="1:5" ht="56" x14ac:dyDescent="0.2">
      <c r="A3145" s="2" t="s">
        <v>3429</v>
      </c>
      <c r="B3145" s="2" t="str">
        <f>HYPERLINK("https://nymag.com/intelligencer/article/how-raw-milk-went-from-hippie-to-maga.html")</f>
        <v>https://nymag.com/intelligencer/article/how-raw-milk-went-from-hippie-to-maga.html</v>
      </c>
      <c r="C3145" s="2" t="s">
        <v>3430</v>
      </c>
      <c r="D3145" s="3">
        <v>45630.21471064815</v>
      </c>
      <c r="E3145" s="2" t="s">
        <v>3431</v>
      </c>
    </row>
    <row r="3146" spans="1:5" ht="84" x14ac:dyDescent="0.2">
      <c r="A3146" s="2" t="s">
        <v>965</v>
      </c>
      <c r="B3146" s="2" t="str">
        <f>HYPERLINK("https://www.corporatecrimereporter.com/news/200/food-babe-takes-on-froot-loops/")</f>
        <v>https://www.corporatecrimereporter.com/news/200/food-babe-takes-on-froot-loops/</v>
      </c>
      <c r="C3146" s="2" t="s">
        <v>966</v>
      </c>
      <c r="D3146" s="3">
        <v>45631.380127314813</v>
      </c>
      <c r="E3146" s="2" t="s">
        <v>967</v>
      </c>
    </row>
    <row r="3147" spans="1:5" ht="70" x14ac:dyDescent="0.2">
      <c r="A3147" s="2" t="s">
        <v>1512</v>
      </c>
      <c r="B3147" s="2" t="str">
        <f>HYPERLINK("https://www.bleedingheartland.com/2024/12/05/my-raw-milk-past-and-why-ive-left-it-behind/")</f>
        <v>https://www.bleedingheartland.com/2024/12/05/my-raw-milk-past-and-why-ive-left-it-behind/</v>
      </c>
      <c r="C3147" s="2" t="s">
        <v>1513</v>
      </c>
      <c r="D3147" s="3">
        <v>45631.508287037039</v>
      </c>
      <c r="E3147" s="2" t="s">
        <v>1514</v>
      </c>
    </row>
    <row r="3148" spans="1:5" ht="56" x14ac:dyDescent="0.2">
      <c r="A3148" s="2" t="s">
        <v>191</v>
      </c>
      <c r="B3148" s="2" t="str">
        <f>HYPERLINK("http://www.richardhartley.com/2024/12/the-biggest-wellness-trends-of-2024-so-far/")</f>
        <v>http://www.richardhartley.com/2024/12/the-biggest-wellness-trends-of-2024-so-far/</v>
      </c>
      <c r="C3148" s="2" t="s">
        <v>171</v>
      </c>
      <c r="D3148" s="3">
        <v>45631.520486111112</v>
      </c>
      <c r="E3148" s="2" t="s">
        <v>172</v>
      </c>
    </row>
    <row r="3149" spans="1:5" ht="56" x14ac:dyDescent="0.2">
      <c r="A3149" s="2" t="s">
        <v>191</v>
      </c>
      <c r="B3149" s="2" t="str">
        <f>HYPERLINK("https://www.theguardian.com/wellness/article/2024/dec/05/2024-wellness-trends")</f>
        <v>https://www.theguardian.com/wellness/article/2024/dec/05/2024-wellness-trends</v>
      </c>
      <c r="C3149" s="2" t="s">
        <v>3686</v>
      </c>
      <c r="D3149" s="3">
        <v>45631.523888888893</v>
      </c>
      <c r="E3149" s="2" t="s">
        <v>172</v>
      </c>
    </row>
    <row r="3150" spans="1:5" ht="56" x14ac:dyDescent="0.2">
      <c r="A3150" s="2" t="s">
        <v>3853</v>
      </c>
      <c r="B3150" s="2" t="str">
        <f>HYPERLINK("https://businessandamerica.com/bovine-colostrum-raw-milk-and-cortisol-face-the-biggest-wellness-trends-of-2024-well-actually/")</f>
        <v>https://businessandamerica.com/bovine-colostrum-raw-milk-and-cortisol-face-the-biggest-wellness-trends-of-2024-well-actually/</v>
      </c>
      <c r="C3150" s="2" t="s">
        <v>3854</v>
      </c>
      <c r="D3150" s="3">
        <v>45631.531030092592</v>
      </c>
      <c r="E3150" s="2" t="s">
        <v>172</v>
      </c>
    </row>
    <row r="3151" spans="1:5" ht="98" x14ac:dyDescent="0.2">
      <c r="A3151" s="2" t="s">
        <v>1714</v>
      </c>
      <c r="B3151" s="2" t="str">
        <f>HYPERLINK("https://bittmanproject.com/some-clarity-from-leading-voices-in-food/")</f>
        <v>https://bittmanproject.com/some-clarity-from-leading-voices-in-food/</v>
      </c>
      <c r="C3151" s="2" t="s">
        <v>1715</v>
      </c>
      <c r="D3151" s="3">
        <v>45631.622199074067</v>
      </c>
      <c r="E3151" s="2" t="s">
        <v>1716</v>
      </c>
    </row>
    <row r="3152" spans="1:5" ht="98" x14ac:dyDescent="0.2">
      <c r="A3152" s="2" t="s">
        <v>4086</v>
      </c>
      <c r="B3152" s="2" t="str">
        <f>HYPERLINK("https://greenmedinfo.com/content/unveiling-corporate-agenda-behind-global-plant-based-food-movement")</f>
        <v>https://greenmedinfo.com/content/unveiling-corporate-agenda-behind-global-plant-based-food-movement</v>
      </c>
      <c r="C3152" s="2" t="s">
        <v>4087</v>
      </c>
      <c r="D3152" s="3">
        <v>45631.645833333343</v>
      </c>
      <c r="E3152" s="2" t="s">
        <v>4088</v>
      </c>
    </row>
    <row r="3153" spans="1:5" ht="70" x14ac:dyDescent="0.2">
      <c r="A3153" s="2" t="s">
        <v>3522</v>
      </c>
      <c r="B3153" s="2" t="str">
        <f>HYPERLINK("https://www.politico.com/newsletters/politico-nightly/2024/12/05/is-rfk-jr-going-mainstream-00192941")</f>
        <v>https://www.politico.com/newsletters/politico-nightly/2024/12/05/is-rfk-jr-going-mainstream-00192941</v>
      </c>
      <c r="C3153" s="2" t="s">
        <v>3523</v>
      </c>
      <c r="D3153" s="3">
        <v>45631.791666666657</v>
      </c>
      <c r="E3153" s="2" t="s">
        <v>3524</v>
      </c>
    </row>
    <row r="3154" spans="1:5" ht="84" x14ac:dyDescent="0.2">
      <c r="A3154" s="2" t="s">
        <v>1324</v>
      </c>
      <c r="B3154" s="2" t="str">
        <f>HYPERLINK("https://www.world-today-news.com/raw-milk-ceo-blames-recall-on-politics-eyes-fda-position/")</f>
        <v>https://www.world-today-news.com/raw-milk-ceo-blames-recall-on-politics-eyes-fda-position/</v>
      </c>
      <c r="C3154" s="2" t="s">
        <v>1325</v>
      </c>
      <c r="D3154" s="3">
        <v>45632.255937499998</v>
      </c>
      <c r="E3154" s="2" t="s">
        <v>1326</v>
      </c>
    </row>
    <row r="3155" spans="1:5" ht="56" x14ac:dyDescent="0.2">
      <c r="A3155" s="2" t="s">
        <v>2015</v>
      </c>
      <c r="B3155" s="2" t="str">
        <f>HYPERLINK("https://nyunews.com/culture/dining/2024/12/06/marion-nestle/")</f>
        <v>https://nyunews.com/culture/dining/2024/12/06/marion-nestle/</v>
      </c>
      <c r="C3155" s="2" t="s">
        <v>2016</v>
      </c>
      <c r="D3155" s="3">
        <v>45632.337858796287</v>
      </c>
      <c r="E3155" s="2" t="s">
        <v>2017</v>
      </c>
    </row>
    <row r="3156" spans="1:5" ht="84" x14ac:dyDescent="0.2">
      <c r="A3156" s="2" t="s">
        <v>1314</v>
      </c>
      <c r="B3156" s="2" t="str">
        <f>HYPERLINK("https://www.thenewlede.org/2024/12/spotlight-on-cancer-causing-food-additive-as-advocates-demand-fda-ban-red-dye-3/")</f>
        <v>https://www.thenewlede.org/2024/12/spotlight-on-cancer-causing-food-additive-as-advocates-demand-fda-ban-red-dye-3/</v>
      </c>
      <c r="C3156" s="2" t="s">
        <v>1312</v>
      </c>
      <c r="D3156" s="3">
        <v>45632.612650462957</v>
      </c>
      <c r="E3156" s="2" t="s">
        <v>1315</v>
      </c>
    </row>
    <row r="3157" spans="1:5" ht="56" x14ac:dyDescent="0.2">
      <c r="A3157" s="2" t="s">
        <v>3602</v>
      </c>
      <c r="B3157" s="2" t="str">
        <f>HYPERLINK("https://www.aol.com/news/public-health-officials-rapidly-traced-200118114.html")</f>
        <v>https://www.aol.com/news/public-health-officials-rapidly-traced-200118114.html</v>
      </c>
      <c r="C3157" s="2" t="s">
        <v>3592</v>
      </c>
      <c r="D3157" s="3">
        <v>45632.625902777778</v>
      </c>
      <c r="E3157" s="2" t="s">
        <v>3603</v>
      </c>
    </row>
    <row r="3158" spans="1:5" ht="56" x14ac:dyDescent="0.2">
      <c r="A3158" s="2" t="s">
        <v>3647</v>
      </c>
      <c r="B3158" s="2" t="str">
        <f>HYPERLINK("https://www.nbcnews.com/health/health-news/public-health-officials-rapidly-traced-source-mcdonalds-e-coli-outbrea-rcna182444")</f>
        <v>https://www.nbcnews.com/health/health-news/public-health-officials-rapidly-traced-source-mcdonalds-e-coli-outbrea-rcna182444</v>
      </c>
      <c r="C3158" s="2" t="s">
        <v>3645</v>
      </c>
      <c r="D3158" s="3">
        <v>45632.627349537041</v>
      </c>
      <c r="E3158" s="2" t="s">
        <v>3648</v>
      </c>
    </row>
    <row r="3159" spans="1:5" ht="56" x14ac:dyDescent="0.2">
      <c r="A3159" s="2" t="s">
        <v>3602</v>
      </c>
      <c r="B3159" s="2" t="str">
        <f>HYPERLINK("https://www.yahoo.com/news/public-health-officials-rapidly-traced-220118003.html")</f>
        <v>https://www.yahoo.com/news/public-health-officials-rapidly-traced-220118003.html</v>
      </c>
      <c r="C3159" s="2" t="s">
        <v>3728</v>
      </c>
      <c r="D3159" s="3">
        <v>45632.709236111114</v>
      </c>
      <c r="E3159" s="2" t="s">
        <v>3648</v>
      </c>
    </row>
    <row r="3160" spans="1:5" ht="56" x14ac:dyDescent="0.2">
      <c r="A3160" s="2" t="s">
        <v>42</v>
      </c>
      <c r="B3160" s="2" t="str">
        <f>HYPERLINK("https://newsnetdaily.com/how-public-health-officials-quickly-traced-the-source-of-the-e-coli-at-mcdonalds/")</f>
        <v>https://newsnetdaily.com/how-public-health-officials-quickly-traced-the-source-of-the-e-coli-at-mcdonalds/</v>
      </c>
      <c r="C3160" s="2" t="s">
        <v>6</v>
      </c>
      <c r="D3160" s="3">
        <v>45632.955752314818</v>
      </c>
      <c r="E3160" s="2" t="s">
        <v>43</v>
      </c>
    </row>
    <row r="3161" spans="1:5" ht="42" x14ac:dyDescent="0.2">
      <c r="A3161" s="2" t="s">
        <v>3927</v>
      </c>
      <c r="B3161" s="2" t="str">
        <f>HYPERLINK("https://www.produceleaders.com/get-ready-for-the-new-york-produce-show-2024/")</f>
        <v>https://www.produceleaders.com/get-ready-for-the-new-york-produce-show-2024/</v>
      </c>
      <c r="C3161" s="2" t="s">
        <v>3928</v>
      </c>
      <c r="D3161" s="3">
        <v>45634.566967592589</v>
      </c>
      <c r="E3161" s="2" t="s">
        <v>3929</v>
      </c>
    </row>
    <row r="3162" spans="1:5" ht="56" x14ac:dyDescent="0.2">
      <c r="A3162" s="2" t="s">
        <v>3946</v>
      </c>
      <c r="B3162" s="2" t="str">
        <f>HYPERLINK("https://wherethefoodcomesfrom.com/usda-greenlights-drought-resistant-herbicide-tolerant-wheat-for-u-s-cultivation-but-challenges-remain/")</f>
        <v>https://wherethefoodcomesfrom.com/usda-greenlights-drought-resistant-herbicide-tolerant-wheat-for-u-s-cultivation-but-challenges-remain/</v>
      </c>
      <c r="C3162" s="2" t="s">
        <v>3824</v>
      </c>
      <c r="D3162" s="3">
        <v>45634.927303240736</v>
      </c>
      <c r="E3162" s="2" t="s">
        <v>3947</v>
      </c>
    </row>
    <row r="3163" spans="1:5" ht="84" x14ac:dyDescent="0.2">
      <c r="A3163" s="2" t="s">
        <v>345</v>
      </c>
      <c r="B3163" s="2" t="str">
        <f>HYPERLINK("https://www.foodsafetynews.com/2024/12/more-listeria-recalls-whats-happening/")</f>
        <v>https://www.foodsafetynews.com/2024/12/more-listeria-recalls-whats-happening/</v>
      </c>
      <c r="C3163" s="2" t="s">
        <v>2721</v>
      </c>
      <c r="D3163" s="3">
        <v>45635.007210648153</v>
      </c>
      <c r="E3163" s="2" t="s">
        <v>347</v>
      </c>
    </row>
    <row r="3164" spans="1:5" ht="84" x14ac:dyDescent="0.2">
      <c r="A3164" s="2" t="s">
        <v>345</v>
      </c>
      <c r="B3164" s="2" t="str">
        <f>HYPERLINK("https://wdctv.news/more-listeria-recalls-whats-happening/")</f>
        <v>https://wdctv.news/more-listeria-recalls-whats-happening/</v>
      </c>
      <c r="C3164" s="2" t="s">
        <v>346</v>
      </c>
      <c r="D3164" s="3">
        <v>45635.030243055553</v>
      </c>
      <c r="E3164" s="2" t="s">
        <v>347</v>
      </c>
    </row>
    <row r="3165" spans="1:5" ht="84" x14ac:dyDescent="0.2">
      <c r="A3165" s="2" t="s">
        <v>1314</v>
      </c>
      <c r="B3165" s="2" t="str">
        <f>HYPERLINK("https://www.ehn.org/advocates-demand-fda-ban-red-dye-3-2670392412.html")</f>
        <v>https://www.ehn.org/advocates-demand-fda-ban-red-dye-3-2670392412.html</v>
      </c>
      <c r="C3165" s="2" t="s">
        <v>1899</v>
      </c>
      <c r="D3165" s="3">
        <v>45635.305243055547</v>
      </c>
      <c r="E3165" s="2" t="s">
        <v>1315</v>
      </c>
    </row>
    <row r="3166" spans="1:5" ht="98" x14ac:dyDescent="0.2">
      <c r="A3166" s="2" t="s">
        <v>2685</v>
      </c>
      <c r="B3166" s="2" t="str">
        <f>HYPERLINK("https://childrenshealthdefense.org/defender/consumer-groups-demand-fda-ban-cancer-causing-red-dye-no-3/")</f>
        <v>https://childrenshealthdefense.org/defender/consumer-groups-demand-fda-ban-cancer-causing-red-dye-no-3/</v>
      </c>
      <c r="C3166" s="2" t="s">
        <v>2505</v>
      </c>
      <c r="D3166" s="3">
        <v>45635.470856481479</v>
      </c>
      <c r="E3166" s="2" t="s">
        <v>2686</v>
      </c>
    </row>
    <row r="3167" spans="1:5" ht="70" x14ac:dyDescent="0.2">
      <c r="A3167" s="2" t="s">
        <v>122</v>
      </c>
      <c r="B3167" s="2" t="str">
        <f>HYPERLINK("https://www.guardonline.com/news/national/more-beans-and-less-red-meat-nutritionists-weigh-in-on-us-dietary-guidelines/article_fc1f7f8c-9a22-5576-854b-9d8d3704806a.html")</f>
        <v>https://www.guardonline.com/news/national/more-beans-and-less-red-meat-nutritionists-weigh-in-on-us-dietary-guidelines/article_fc1f7f8c-9a22-5576-854b-9d8d3704806a.html</v>
      </c>
      <c r="C3167" s="2" t="s">
        <v>949</v>
      </c>
      <c r="D3167" s="3">
        <v>45636</v>
      </c>
      <c r="E3167" s="2" t="s">
        <v>38</v>
      </c>
    </row>
    <row r="3168" spans="1:5" ht="70" x14ac:dyDescent="0.2">
      <c r="A3168" s="2" t="s">
        <v>122</v>
      </c>
      <c r="B3168" s="2" t="str">
        <f>HYPERLINK("https://www.milescitystar.com/ap_news/national/more-beans-and-less-red-meat-nutritionists-weigh-in-on-us-dietary-guidelines/article_55d930ab-0671-5c7b-a9cc-bcff993b948d.html")</f>
        <v>https://www.milescitystar.com/ap_news/national/more-beans-and-less-red-meat-nutritionists-weigh-in-on-us-dietary-guidelines/article_55d930ab-0671-5c7b-a9cc-bcff993b948d.html</v>
      </c>
      <c r="C3168" s="2" t="s">
        <v>874</v>
      </c>
      <c r="D3168" s="3">
        <v>45636</v>
      </c>
      <c r="E3168" s="2" t="s">
        <v>38</v>
      </c>
    </row>
    <row r="3169" spans="1:5" ht="70" x14ac:dyDescent="0.2">
      <c r="A3169" s="2" t="s">
        <v>122</v>
      </c>
      <c r="B3169" s="2" t="str">
        <f>HYPERLINK("https://www.thetimestribune.com/news/national_news/more-beans-and-less-red-meat-nutritionists-weigh-in-on-us-dietary-guidelines/article_88d15f17-cd31-503e-b7fe-665123b58c2f.html")</f>
        <v>https://www.thetimestribune.com/news/national_news/more-beans-and-less-red-meat-nutritionists-weigh-in-on-us-dietary-guidelines/article_88d15f17-cd31-503e-b7fe-665123b58c2f.html</v>
      </c>
      <c r="C3169" s="2" t="s">
        <v>1106</v>
      </c>
      <c r="D3169" s="3">
        <v>45636</v>
      </c>
      <c r="E3169" s="2" t="s">
        <v>38</v>
      </c>
    </row>
    <row r="3170" spans="1:5" ht="70" x14ac:dyDescent="0.2">
      <c r="A3170" s="2" t="s">
        <v>122</v>
      </c>
      <c r="B3170" s="2" t="str">
        <f>HYPERLINK("https://www.washtimesherald.com/news/national_news/more-beans-and-less-red-meat-nutritionists-weigh-in-on-us-dietary-guidelines/article_63cd1325-4e58-565a-9620-251ef48d8a3b.html")</f>
        <v>https://www.washtimesherald.com/news/national_news/more-beans-and-less-red-meat-nutritionists-weigh-in-on-us-dietary-guidelines/article_63cd1325-4e58-565a-9620-251ef48d8a3b.html</v>
      </c>
      <c r="C3170" s="2" t="s">
        <v>1157</v>
      </c>
      <c r="D3170" s="3">
        <v>45636</v>
      </c>
      <c r="E3170" s="2" t="s">
        <v>38</v>
      </c>
    </row>
    <row r="3171" spans="1:5" ht="70" x14ac:dyDescent="0.2">
      <c r="A3171" s="2" t="s">
        <v>122</v>
      </c>
      <c r="B3171" s="2" t="str">
        <f>HYPERLINK("https://www.recordargusnews.com/ap/lifestyles/more-beans-and-less-red-meat-nutritionists-weigh-in-on-us-dietary-guidelines/article_c09c29c0-7671-580d-82e6-60cece567fd2.html")</f>
        <v>https://www.recordargusnews.com/ap/lifestyles/more-beans-and-less-red-meat-nutritionists-weigh-in-on-us-dietary-guidelines/article_c09c29c0-7671-580d-82e6-60cece567fd2.html</v>
      </c>
      <c r="C3171" s="2" t="s">
        <v>1162</v>
      </c>
      <c r="D3171" s="3">
        <v>45636</v>
      </c>
      <c r="E3171" s="2" t="s">
        <v>38</v>
      </c>
    </row>
    <row r="3172" spans="1:5" ht="70" x14ac:dyDescent="0.2">
      <c r="A3172" s="2" t="s">
        <v>122</v>
      </c>
      <c r="B3172" s="2" t="str">
        <f>HYPERLINK("https://www.yumasun.com/news/national_news/more-beans-and-less-red-meat-nutritionists-weigh-in-on-us-dietary-guidelines/article_00057870-c362-5b01-a55b-6d816a615d86.html")</f>
        <v>https://www.yumasun.com/news/national_news/more-beans-and-less-red-meat-nutritionists-weigh-in-on-us-dietary-guidelines/article_00057870-c362-5b01-a55b-6d816a615d86.html</v>
      </c>
      <c r="C3172" s="2" t="s">
        <v>1232</v>
      </c>
      <c r="D3172" s="3">
        <v>45636</v>
      </c>
      <c r="E3172" s="2" t="s">
        <v>38</v>
      </c>
    </row>
    <row r="3173" spans="1:5" ht="70" x14ac:dyDescent="0.2">
      <c r="A3173" s="2" t="s">
        <v>292</v>
      </c>
      <c r="B3173" s="2" t="str">
        <f>HYPERLINK("https://www.oskaloosa.com/news/national_news/more-beans-and-less-red-meat-nutrition-experts-weigh-in-on-us-dietary-guidelines/article_b99d9eb7-6d76-5dd7-bd90-8af9185e9b33.html")</f>
        <v>https://www.oskaloosa.com/news/national_news/more-beans-and-less-red-meat-nutrition-experts-weigh-in-on-us-dietary-guidelines/article_b99d9eb7-6d76-5dd7-bd90-8af9185e9b33.html</v>
      </c>
      <c r="C3173" s="2" t="s">
        <v>1283</v>
      </c>
      <c r="D3173" s="3">
        <v>45636</v>
      </c>
      <c r="E3173" s="2" t="s">
        <v>38</v>
      </c>
    </row>
    <row r="3174" spans="1:5" ht="70" x14ac:dyDescent="0.2">
      <c r="A3174" s="2" t="s">
        <v>122</v>
      </c>
      <c r="B3174" s="2" t="str">
        <f>HYPERLINK("https://www.oskaloosa.com/news/national_news/more-beans-and-less-red-meat-nutritionists-weigh-in-on-us-dietary-guidelines/article_b99d9eb7-6d76-5dd7-bd90-8af9185e9b33.html")</f>
        <v>https://www.oskaloosa.com/news/national_news/more-beans-and-less-red-meat-nutritionists-weigh-in-on-us-dietary-guidelines/article_b99d9eb7-6d76-5dd7-bd90-8af9185e9b33.html</v>
      </c>
      <c r="C3174" s="2" t="s">
        <v>1283</v>
      </c>
      <c r="D3174" s="3">
        <v>45636</v>
      </c>
      <c r="E3174" s="2" t="s">
        <v>38</v>
      </c>
    </row>
    <row r="3175" spans="1:5" ht="70" x14ac:dyDescent="0.2">
      <c r="A3175" s="2" t="s">
        <v>292</v>
      </c>
      <c r="B3175" s="2" t="str">
        <f>HYPERLINK("https://www.tahlequahdailypress.com/natlnewsap/more-beans-and-less-red-meat-nutrition-experts-weigh-in-on-us-dietary-guidelines/article_3279fe36-d130-5e45-ace4-c51b587fd1a6.html")</f>
        <v>https://www.tahlequahdailypress.com/natlnewsap/more-beans-and-less-red-meat-nutrition-experts-weigh-in-on-us-dietary-guidelines/article_3279fe36-d130-5e45-ace4-c51b587fd1a6.html</v>
      </c>
      <c r="C3175" s="2" t="s">
        <v>1285</v>
      </c>
      <c r="D3175" s="3">
        <v>45636</v>
      </c>
      <c r="E3175" s="2" t="s">
        <v>38</v>
      </c>
    </row>
    <row r="3176" spans="1:5" ht="70" x14ac:dyDescent="0.2">
      <c r="A3176" s="2" t="s">
        <v>292</v>
      </c>
      <c r="B3176" s="2" t="str">
        <f>HYPERLINK("https://www.corsicanadailysun.com/national/more-beans-and-less-red-meat-nutrition-experts-weigh-in-on-us-dietary-guidelines/article_3212d332-3570-56ad-9ea4-3d1884aa004c.html")</f>
        <v>https://www.corsicanadailysun.com/national/more-beans-and-less-red-meat-nutrition-experts-weigh-in-on-us-dietary-guidelines/article_3212d332-3570-56ad-9ea4-3d1884aa004c.html</v>
      </c>
      <c r="C3176" s="2" t="s">
        <v>1291</v>
      </c>
      <c r="D3176" s="3">
        <v>45636</v>
      </c>
      <c r="E3176" s="2" t="s">
        <v>38</v>
      </c>
    </row>
    <row r="3177" spans="1:5" ht="70" x14ac:dyDescent="0.2">
      <c r="A3177" s="2" t="s">
        <v>292</v>
      </c>
      <c r="B3177" s="2" t="str">
        <f>HYPERLINK("https://www.richmondregister.com/ap/lifestyles/more-beans-and-less-red-meat-nutrition-experts-weigh-in-on-us-dietary-guidelines/article_ac9596a7-7b99-5c27-a44e-17be8fa3f36f.html")</f>
        <v>https://www.richmondregister.com/ap/lifestyles/more-beans-and-less-red-meat-nutrition-experts-weigh-in-on-us-dietary-guidelines/article_ac9596a7-7b99-5c27-a44e-17be8fa3f36f.html</v>
      </c>
      <c r="C3177" s="2" t="s">
        <v>1305</v>
      </c>
      <c r="D3177" s="3">
        <v>45636</v>
      </c>
      <c r="E3177" s="2" t="s">
        <v>38</v>
      </c>
    </row>
    <row r="3178" spans="1:5" ht="70" x14ac:dyDescent="0.2">
      <c r="A3178" s="2" t="s">
        <v>292</v>
      </c>
      <c r="B3178" s="2" t="str">
        <f>HYPERLINK("https://www.mykxlg.com/news/national/more-beans-and-less-red-meat-nutrition-experts-weigh-in-on-us-dietary-guidelines/article_bc6ebe2c-2e0c-5ee4-81eb-8fe05680caff.html")</f>
        <v>https://www.mykxlg.com/news/national/more-beans-and-less-red-meat-nutrition-experts-weigh-in-on-us-dietary-guidelines/article_bc6ebe2c-2e0c-5ee4-81eb-8fe05680caff.html</v>
      </c>
      <c r="C3178" s="2" t="s">
        <v>1405</v>
      </c>
      <c r="D3178" s="3">
        <v>45636</v>
      </c>
      <c r="E3178" s="2" t="s">
        <v>38</v>
      </c>
    </row>
    <row r="3179" spans="1:5" ht="70" x14ac:dyDescent="0.2">
      <c r="A3179" s="2" t="s">
        <v>122</v>
      </c>
      <c r="B3179" s="2" t="str">
        <f>HYPERLINK("https://www.mykxlg.com/news/national/more-beans-and-less-red-meat-nutritionists-weigh-in-on-us-dietary-guidelines/article_bc6ebe2c-2e0c-5ee4-81eb-8fe05680caff.html")</f>
        <v>https://www.mykxlg.com/news/national/more-beans-and-less-red-meat-nutritionists-weigh-in-on-us-dietary-guidelines/article_bc6ebe2c-2e0c-5ee4-81eb-8fe05680caff.html</v>
      </c>
      <c r="C3179" s="2" t="s">
        <v>1405</v>
      </c>
      <c r="D3179" s="3">
        <v>45636</v>
      </c>
      <c r="E3179" s="2" t="s">
        <v>38</v>
      </c>
    </row>
    <row r="3180" spans="1:5" ht="70" x14ac:dyDescent="0.2">
      <c r="A3180" s="2" t="s">
        <v>122</v>
      </c>
      <c r="B3180" s="2" t="str">
        <f>HYPERLINK("https://hanfordsentinel.com/lifestyles/health-and-fitness/more-beans-and-less-red-meat-nutritionists-weigh-in-on-us-dietary-guidelines/article_9960a75e-b743-11ef-83e5-73b871b45769.html")</f>
        <v>https://hanfordsentinel.com/lifestyles/health-and-fitness/more-beans-and-less-red-meat-nutritionists-weigh-in-on-us-dietary-guidelines/article_9960a75e-b743-11ef-83e5-73b871b45769.html</v>
      </c>
      <c r="C3180" s="2" t="s">
        <v>1433</v>
      </c>
      <c r="D3180" s="3">
        <v>45636</v>
      </c>
      <c r="E3180" s="2" t="s">
        <v>38</v>
      </c>
    </row>
    <row r="3181" spans="1:5" ht="70" x14ac:dyDescent="0.2">
      <c r="A3181" s="2" t="s">
        <v>122</v>
      </c>
      <c r="B3181" s="2" t="str">
        <f>HYPERLINK("https://www.dailyadvance.com/news/national/more-beans-and-less-red-meat-nutritionists-weigh-in-on-us-dietary-guidelines/article_a9a48e23-d469-5fc0-96d7-ee9edc385fe4.html")</f>
        <v>https://www.dailyadvance.com/news/national/more-beans-and-less-red-meat-nutritionists-weigh-in-on-us-dietary-guidelines/article_a9a48e23-d469-5fc0-96d7-ee9edc385fe4.html</v>
      </c>
      <c r="C3181" s="2" t="s">
        <v>1489</v>
      </c>
      <c r="D3181" s="3">
        <v>45636</v>
      </c>
      <c r="E3181" s="2" t="s">
        <v>38</v>
      </c>
    </row>
    <row r="3182" spans="1:5" ht="70" x14ac:dyDescent="0.2">
      <c r="A3182" s="2" t="s">
        <v>122</v>
      </c>
      <c r="B3182" s="2" t="str">
        <f>HYPERLINK("https://www.goshennews.com/news/lifestyles/more-beans-and-less-red-meat-nutritionists-weigh-in-on-us-dietary-guidelines/article_2bc52807-4489-5a72-9de0-484ce2c7b5e3.html")</f>
        <v>https://www.goshennews.com/news/lifestyles/more-beans-and-less-red-meat-nutritionists-weigh-in-on-us-dietary-guidelines/article_2bc52807-4489-5a72-9de0-484ce2c7b5e3.html</v>
      </c>
      <c r="C3182" s="2" t="s">
        <v>1536</v>
      </c>
      <c r="D3182" s="3">
        <v>45636</v>
      </c>
      <c r="E3182" s="2" t="s">
        <v>38</v>
      </c>
    </row>
    <row r="3183" spans="1:5" ht="70" x14ac:dyDescent="0.2">
      <c r="A3183" s="2" t="s">
        <v>122</v>
      </c>
      <c r="B3183" s="2" t="str">
        <f>HYPERLINK("https://www.cecildaily.com/ap/nation/more-beans-and-less-red-meat-nutritionists-weigh-in-on-us-dietary-guidelines/article_161843d6-e149-5d5f-98d7-53149f98c7c0.html")</f>
        <v>https://www.cecildaily.com/ap/nation/more-beans-and-less-red-meat-nutritionists-weigh-in-on-us-dietary-guidelines/article_161843d6-e149-5d5f-98d7-53149f98c7c0.html</v>
      </c>
      <c r="C3183" s="2" t="s">
        <v>1578</v>
      </c>
      <c r="D3183" s="3">
        <v>45636</v>
      </c>
      <c r="E3183" s="2" t="s">
        <v>38</v>
      </c>
    </row>
    <row r="3184" spans="1:5" ht="70" x14ac:dyDescent="0.2">
      <c r="A3184" s="2" t="s">
        <v>122</v>
      </c>
      <c r="B3184" s="2" t="str">
        <f>HYPERLINK("https://www.whig.com/ap/lifestyles/more-beans-and-less-red-meat-nutritionists-weigh-in-on-us-dietary-guidelines/article_65de0c7c-5f12-5de2-bda7-9b2f37cabd80.html")</f>
        <v>https://www.whig.com/ap/lifestyles/more-beans-and-less-red-meat-nutritionists-weigh-in-on-us-dietary-guidelines/article_65de0c7c-5f12-5de2-bda7-9b2f37cabd80.html</v>
      </c>
      <c r="C3184" s="2" t="s">
        <v>1588</v>
      </c>
      <c r="D3184" s="3">
        <v>45636</v>
      </c>
      <c r="E3184" s="2" t="s">
        <v>38</v>
      </c>
    </row>
    <row r="3185" spans="1:5" ht="42" x14ac:dyDescent="0.2">
      <c r="A3185" s="2" t="s">
        <v>122</v>
      </c>
      <c r="B3185" s="2" t="str">
        <f>HYPERLINK("https://www.yankton.net/news/national_ap/article_32eb1304-6867-5f35-92e7-02bb6eae21a8.html")</f>
        <v>https://www.yankton.net/news/national_ap/article_32eb1304-6867-5f35-92e7-02bb6eae21a8.html</v>
      </c>
      <c r="C3185" s="2" t="s">
        <v>1591</v>
      </c>
      <c r="D3185" s="3">
        <v>45636</v>
      </c>
      <c r="E3185" s="2" t="s">
        <v>38</v>
      </c>
    </row>
    <row r="3186" spans="1:5" ht="70" x14ac:dyDescent="0.2">
      <c r="A3186" s="2" t="s">
        <v>122</v>
      </c>
      <c r="B3186" s="2" t="str">
        <f>HYPERLINK("https://www.recorderonline.com/news/national_news/more-beans-and-less-red-meat-nutritionists-weigh-in-on-us-dietary-guidelines/article_1d21a470-5e49-5185-8f89-3628b5db2558.html")</f>
        <v>https://www.recorderonline.com/news/national_news/more-beans-and-less-red-meat-nutritionists-weigh-in-on-us-dietary-guidelines/article_1d21a470-5e49-5185-8f89-3628b5db2558.html</v>
      </c>
      <c r="C3186" s="2" t="s">
        <v>1658</v>
      </c>
      <c r="D3186" s="3">
        <v>45636</v>
      </c>
      <c r="E3186" s="2" t="s">
        <v>38</v>
      </c>
    </row>
    <row r="3187" spans="1:5" ht="56" x14ac:dyDescent="0.2">
      <c r="A3187" s="2" t="s">
        <v>1233</v>
      </c>
      <c r="B3187" s="2" t="str">
        <f>HYPERLINK("https://www.postregister.com/news/national/ap-news-in-brief-at-6-04-p-m-est/article_4961b368-4576-5781-9716-5ef79383843c.html")</f>
        <v>https://www.postregister.com/news/national/ap-news-in-brief-at-6-04-p-m-est/article_4961b368-4576-5781-9716-5ef79383843c.html</v>
      </c>
      <c r="C3187" s="2" t="s">
        <v>1687</v>
      </c>
      <c r="D3187" s="3">
        <v>45636</v>
      </c>
      <c r="E3187" s="2" t="s">
        <v>38</v>
      </c>
    </row>
    <row r="3188" spans="1:5" ht="70" x14ac:dyDescent="0.2">
      <c r="A3188" s="2" t="s">
        <v>292</v>
      </c>
      <c r="B3188" s="2" t="str">
        <f>HYPERLINK("https://www.postregister.com/news/national/more-beans-and-less-red-meat-nutrition-experts-weigh-in-on-us-dietary-guidelines/article_2e80c995-93b5-5fa7-84da-e223144badd5.html")</f>
        <v>https://www.postregister.com/news/national/more-beans-and-less-red-meat-nutrition-experts-weigh-in-on-us-dietary-guidelines/article_2e80c995-93b5-5fa7-84da-e223144badd5.html</v>
      </c>
      <c r="C3188" s="2" t="s">
        <v>1687</v>
      </c>
      <c r="D3188" s="3">
        <v>45636</v>
      </c>
      <c r="E3188" s="2" t="s">
        <v>38</v>
      </c>
    </row>
    <row r="3189" spans="1:5" ht="70" x14ac:dyDescent="0.2">
      <c r="A3189" s="2" t="s">
        <v>122</v>
      </c>
      <c r="B3189" s="2" t="str">
        <f>HYPERLINK("https://www.postregister.com/news/national/more-beans-and-less-red-meat-nutritionists-weigh-in-on-us-dietary-guidelines/article_2e80c995-93b5-5fa7-84da-e223144badd5.html")</f>
        <v>https://www.postregister.com/news/national/more-beans-and-less-red-meat-nutritionists-weigh-in-on-us-dietary-guidelines/article_2e80c995-93b5-5fa7-84da-e223144badd5.html</v>
      </c>
      <c r="C3189" s="2" t="s">
        <v>1687</v>
      </c>
      <c r="D3189" s="3">
        <v>45636</v>
      </c>
      <c r="E3189" s="2" t="s">
        <v>38</v>
      </c>
    </row>
    <row r="3190" spans="1:5" ht="70" x14ac:dyDescent="0.2">
      <c r="A3190" s="2" t="s">
        <v>292</v>
      </c>
      <c r="B3190" s="2" t="str">
        <f>HYPERLINK("https://www.heraldbulletin.com/news/nation_world/more-beans-and-less-red-meat-nutrition-experts-weigh-in-on-us-dietary-guidelines/article_11f8baa3-0b51-52c6-97a3-49e63cfcbfca.html")</f>
        <v>https://www.heraldbulletin.com/news/nation_world/more-beans-and-less-red-meat-nutrition-experts-weigh-in-on-us-dietary-guidelines/article_11f8baa3-0b51-52c6-97a3-49e63cfcbfca.html</v>
      </c>
      <c r="C3190" s="2" t="s">
        <v>1693</v>
      </c>
      <c r="D3190" s="3">
        <v>45636</v>
      </c>
      <c r="E3190" s="2" t="s">
        <v>38</v>
      </c>
    </row>
    <row r="3191" spans="1:5" ht="70" x14ac:dyDescent="0.2">
      <c r="A3191" s="2" t="s">
        <v>292</v>
      </c>
      <c r="B3191" s="2" t="str">
        <f>HYPERLINK("https://www.indexjournal.com/news/national/more-beans-and-less-red-meat-nutrition-experts-weigh-in-on-us-dietary-guidelines/article_b0e8d514-f510-5e7a-a7f8-273792fe62fb.html")</f>
        <v>https://www.indexjournal.com/news/national/more-beans-and-less-red-meat-nutrition-experts-weigh-in-on-us-dietary-guidelines/article_b0e8d514-f510-5e7a-a7f8-273792fe62fb.html</v>
      </c>
      <c r="C3191" s="2" t="s">
        <v>1700</v>
      </c>
      <c r="D3191" s="3">
        <v>45636</v>
      </c>
      <c r="E3191" s="2" t="s">
        <v>38</v>
      </c>
    </row>
    <row r="3192" spans="1:5" ht="70" x14ac:dyDescent="0.2">
      <c r="A3192" s="2" t="s">
        <v>122</v>
      </c>
      <c r="B3192" s="2" t="str">
        <f>HYPERLINK("https://www.indexjournal.com/news/national/more-beans-and-less-red-meat-nutritionists-weigh-in-on-us-dietary-guidelines/article_b0e8d514-f510-5e7a-a7f8-273792fe62fb.html")</f>
        <v>https://www.indexjournal.com/news/national/more-beans-and-less-red-meat-nutritionists-weigh-in-on-us-dietary-guidelines/article_b0e8d514-f510-5e7a-a7f8-273792fe62fb.html</v>
      </c>
      <c r="C3192" s="2" t="s">
        <v>1700</v>
      </c>
      <c r="D3192" s="3">
        <v>45636</v>
      </c>
      <c r="E3192" s="2" t="s">
        <v>38</v>
      </c>
    </row>
    <row r="3193" spans="1:5" ht="70" x14ac:dyDescent="0.2">
      <c r="A3193" s="2" t="s">
        <v>292</v>
      </c>
      <c r="B3193" s="2" t="str">
        <f>HYPERLINK("https://www.nrtoday.com/ap/lifestyles/more-beans-and-less-red-meat-nutrition-experts-weigh-in-on-us-dietary-guidelines/article_3dfd8377-54c6-5f78-bb89-530f667013ff.html")</f>
        <v>https://www.nrtoday.com/ap/lifestyles/more-beans-and-less-red-meat-nutrition-experts-weigh-in-on-us-dietary-guidelines/article_3dfd8377-54c6-5f78-bb89-530f667013ff.html</v>
      </c>
      <c r="C3193" s="2" t="s">
        <v>1712</v>
      </c>
      <c r="D3193" s="3">
        <v>45636</v>
      </c>
      <c r="E3193" s="2" t="s">
        <v>38</v>
      </c>
    </row>
    <row r="3194" spans="1:5" ht="56" x14ac:dyDescent="0.2">
      <c r="A3194" s="2" t="s">
        <v>1233</v>
      </c>
      <c r="B3194" s="2" t="str">
        <f>HYPERLINK("https://www.jonesborosun.com/news/national/ap-news-in-brief-at-6-04-p-m-est/article_4f153261-c312-55ab-91be-af0e2d37d646.html")</f>
        <v>https://www.jonesborosun.com/news/national/ap-news-in-brief-at-6-04-p-m-est/article_4f153261-c312-55ab-91be-af0e2d37d646.html</v>
      </c>
      <c r="C3194" s="2" t="s">
        <v>1729</v>
      </c>
      <c r="D3194" s="3">
        <v>45636</v>
      </c>
      <c r="E3194" s="2" t="s">
        <v>38</v>
      </c>
    </row>
    <row r="3195" spans="1:5" ht="70" x14ac:dyDescent="0.2">
      <c r="A3195" s="2" t="s">
        <v>122</v>
      </c>
      <c r="B3195" s="2" t="str">
        <f>HYPERLINK("https://www.jonesborosun.com/news/national/more-beans-and-less-red-meat-nutritionists-weigh-in-on-us-dietary-guidelines/article_233d8559-3384-5c06-8ecb-66aef99b68da.html")</f>
        <v>https://www.jonesborosun.com/news/national/more-beans-and-less-red-meat-nutritionists-weigh-in-on-us-dietary-guidelines/article_233d8559-3384-5c06-8ecb-66aef99b68da.html</v>
      </c>
      <c r="C3195" s="2" t="s">
        <v>1729</v>
      </c>
      <c r="D3195" s="3">
        <v>45636</v>
      </c>
      <c r="E3195" s="2" t="s">
        <v>38</v>
      </c>
    </row>
    <row r="3196" spans="1:5" ht="56" x14ac:dyDescent="0.2">
      <c r="A3196" s="2" t="s">
        <v>1735</v>
      </c>
      <c r="B3196" s="2" t="str">
        <f>HYPERLINK("https://www.theitem.com/stories/more-beans-and-less-red-meat-nutritionists-weigh-in-on-us-dietary-guidelines,423365")</f>
        <v>https://www.theitem.com/stories/more-beans-and-less-red-meat-nutritionists-weigh-in-on-us-dietary-guidelines,423365</v>
      </c>
      <c r="C3196" s="2" t="s">
        <v>1736</v>
      </c>
      <c r="D3196" s="3">
        <v>45636</v>
      </c>
      <c r="E3196" s="2" t="s">
        <v>38</v>
      </c>
    </row>
    <row r="3197" spans="1:5" ht="70" x14ac:dyDescent="0.2">
      <c r="A3197" s="2" t="s">
        <v>292</v>
      </c>
      <c r="B3197" s="2" t="str">
        <f>HYPERLINK("https://www.starbeacon.com/region/more-beans-and-less-red-meat-nutrition-experts-weigh-in-on-us-dietary-guidelines/article_1a94b02b-f4f7-5c6e-be25-ca229c21e464.html")</f>
        <v>https://www.starbeacon.com/region/more-beans-and-less-red-meat-nutrition-experts-weigh-in-on-us-dietary-guidelines/article_1a94b02b-f4f7-5c6e-be25-ca229c21e464.html</v>
      </c>
      <c r="C3197" s="2" t="s">
        <v>1784</v>
      </c>
      <c r="D3197" s="3">
        <v>45636</v>
      </c>
      <c r="E3197" s="2" t="s">
        <v>38</v>
      </c>
    </row>
    <row r="3198" spans="1:5" ht="70" x14ac:dyDescent="0.2">
      <c r="A3198" s="2" t="s">
        <v>122</v>
      </c>
      <c r="B3198" s="2" t="str">
        <f>HYPERLINK("https://www.starbeacon.com/region/more-beans-and-less-red-meat-nutritionists-weigh-in-on-us-dietary-guidelines/article_1a94b02b-f4f7-5c6e-be25-ca229c21e464.html")</f>
        <v>https://www.starbeacon.com/region/more-beans-and-less-red-meat-nutritionists-weigh-in-on-us-dietary-guidelines/article_1a94b02b-f4f7-5c6e-be25-ca229c21e464.html</v>
      </c>
      <c r="C3198" s="2" t="s">
        <v>1784</v>
      </c>
      <c r="D3198" s="3">
        <v>45636</v>
      </c>
      <c r="E3198" s="2" t="s">
        <v>38</v>
      </c>
    </row>
    <row r="3199" spans="1:5" ht="56" x14ac:dyDescent="0.2">
      <c r="A3199" s="2" t="s">
        <v>1233</v>
      </c>
      <c r="B3199" s="2" t="str">
        <f>HYPERLINK("https://www.starbeacon.com/region/ap-news-in-brief-at-6-04-p-m-est/article_a233a866-cb01-5206-b463-1e52f251bd67.html")</f>
        <v>https://www.starbeacon.com/region/ap-news-in-brief-at-6-04-p-m-est/article_a233a866-cb01-5206-b463-1e52f251bd67.html</v>
      </c>
      <c r="C3199" s="2" t="s">
        <v>1784</v>
      </c>
      <c r="D3199" s="3">
        <v>45636</v>
      </c>
      <c r="E3199" s="2" t="s">
        <v>38</v>
      </c>
    </row>
    <row r="3200" spans="1:5" ht="70" x14ac:dyDescent="0.2">
      <c r="A3200" s="2" t="s">
        <v>292</v>
      </c>
      <c r="B3200" s="2" t="str">
        <f>HYPERLINK("https://www.ivpressonline.com/news/nation/more-beans-and-less-red-meat-nutrition-experts-weigh-in-on-us-dietary-guidelines/article_cadcca8a-50b2-529f-9286-9c4774cc0cc6.html")</f>
        <v>https://www.ivpressonline.com/news/nation/more-beans-and-less-red-meat-nutrition-experts-weigh-in-on-us-dietary-guidelines/article_cadcca8a-50b2-529f-9286-9c4774cc0cc6.html</v>
      </c>
      <c r="C3200" s="2" t="s">
        <v>1630</v>
      </c>
      <c r="D3200" s="3">
        <v>45636</v>
      </c>
      <c r="E3200" s="2" t="s">
        <v>38</v>
      </c>
    </row>
    <row r="3201" spans="1:5" ht="56" x14ac:dyDescent="0.2">
      <c r="A3201" s="2" t="s">
        <v>1233</v>
      </c>
      <c r="B3201" s="2" t="str">
        <f>HYPERLINK("https://www.ivpressonline.com/news/nation/ap-news-in-brief-at-6-04-p-m-est/article_688ad79c-78f3-5e28-8667-363205f0c230.html")</f>
        <v>https://www.ivpressonline.com/news/nation/ap-news-in-brief-at-6-04-p-m-est/article_688ad79c-78f3-5e28-8667-363205f0c230.html</v>
      </c>
      <c r="C3201" s="2" t="s">
        <v>1630</v>
      </c>
      <c r="D3201" s="3">
        <v>45636</v>
      </c>
      <c r="E3201" s="2" t="s">
        <v>38</v>
      </c>
    </row>
    <row r="3202" spans="1:5" ht="70" x14ac:dyDescent="0.2">
      <c r="A3202" s="2" t="s">
        <v>122</v>
      </c>
      <c r="B3202" s="2" t="str">
        <f>HYPERLINK("https://www.ivpressonline.com/news/nation/more-beans-and-less-red-meat-nutritionists-weigh-in-on-us-dietary-guidelines/article_cadcca8a-50b2-529f-9286-9c4774cc0cc6.html")</f>
        <v>https://www.ivpressonline.com/news/nation/more-beans-and-less-red-meat-nutritionists-weigh-in-on-us-dietary-guidelines/article_cadcca8a-50b2-529f-9286-9c4774cc0cc6.html</v>
      </c>
      <c r="C3202" s="2" t="s">
        <v>1630</v>
      </c>
      <c r="D3202" s="3">
        <v>45636</v>
      </c>
      <c r="E3202" s="2" t="s">
        <v>38</v>
      </c>
    </row>
    <row r="3203" spans="1:5" ht="84" x14ac:dyDescent="0.2">
      <c r="A3203" s="2" t="s">
        <v>292</v>
      </c>
      <c r="B3203" s="2" t="str">
        <f>HYPERLINK("https://www.record-eagle.com/ap/lifestyles/more-beans-and-less-red-meat-nutrition-experts-weigh-in-on-us-dietary-guidelines/article_e3e7d38a-58fc-5213-9803-7c1fa49ac68c.html")</f>
        <v>https://www.record-eagle.com/ap/lifestyles/more-beans-and-less-red-meat-nutrition-experts-weigh-in-on-us-dietary-guidelines/article_e3e7d38a-58fc-5213-9803-7c1fa49ac68c.html</v>
      </c>
      <c r="C3203" s="2" t="s">
        <v>1815</v>
      </c>
      <c r="D3203" s="3">
        <v>45636</v>
      </c>
      <c r="E3203" s="2" t="s">
        <v>38</v>
      </c>
    </row>
    <row r="3204" spans="1:5" ht="70" x14ac:dyDescent="0.2">
      <c r="A3204" s="2" t="s">
        <v>292</v>
      </c>
      <c r="B3204" s="2" t="str">
        <f>HYPERLINK("https://www.thedailystar.com/news/national/more-beans-and-less-red-meat-nutrition-experts-weigh-in-on-us-dietary-guidelines/article_08308b72-fe09-5905-8279-9f76bbca93d4.html")</f>
        <v>https://www.thedailystar.com/news/national/more-beans-and-less-red-meat-nutrition-experts-weigh-in-on-us-dietary-guidelines/article_08308b72-fe09-5905-8279-9f76bbca93d4.html</v>
      </c>
      <c r="C3204" s="2" t="s">
        <v>1801</v>
      </c>
      <c r="D3204" s="3">
        <v>45636</v>
      </c>
      <c r="E3204" s="2" t="s">
        <v>38</v>
      </c>
    </row>
    <row r="3205" spans="1:5" ht="84" x14ac:dyDescent="0.2">
      <c r="A3205" s="2" t="s">
        <v>292</v>
      </c>
      <c r="B3205" s="2" t="str">
        <f>HYPERLINK("https://www.journalgazette.net/news/health-science/more-beans-and-less-red-meat-nutrition-experts-weigh-in-on-us-dietary-guidelines/article_1d55e8b1-9168-5f5f-96eb-b147987cbc89.html")</f>
        <v>https://www.journalgazette.net/news/health-science/more-beans-and-less-red-meat-nutrition-experts-weigh-in-on-us-dietary-guidelines/article_1d55e8b1-9168-5f5f-96eb-b147987cbc89.html</v>
      </c>
      <c r="C3205" s="2" t="s">
        <v>1833</v>
      </c>
      <c r="D3205" s="3">
        <v>45636</v>
      </c>
      <c r="E3205" s="2" t="s">
        <v>38</v>
      </c>
    </row>
    <row r="3206" spans="1:5" ht="56" x14ac:dyDescent="0.2">
      <c r="A3206" s="2" t="s">
        <v>1233</v>
      </c>
      <c r="B3206" s="2" t="str">
        <f>HYPERLINK("https://santamariatimes.com/ap/national/ap-news-in-brief-at-6-04-p-m-est/article_867998a7-6e5f-59d6-bee1-f98781c1fac8.html")</f>
        <v>https://santamariatimes.com/ap/national/ap-news-in-brief-at-6-04-p-m-est/article_867998a7-6e5f-59d6-bee1-f98781c1fac8.html</v>
      </c>
      <c r="C3206" s="2" t="s">
        <v>1802</v>
      </c>
      <c r="D3206" s="3">
        <v>45636</v>
      </c>
      <c r="E3206" s="2" t="s">
        <v>38</v>
      </c>
    </row>
    <row r="3207" spans="1:5" ht="70" x14ac:dyDescent="0.2">
      <c r="A3207" s="2" t="s">
        <v>122</v>
      </c>
      <c r="B3207" s="2" t="str">
        <f>HYPERLINK("https://www.dnronline.com/associated_press/national/more-beans-and-less-red-meat-nutritionists-weigh-in-on-us-dietary-guidelines/article_fca3ab07-3025-59a6-9689-248ea9da9045.html")</f>
        <v>https://www.dnronline.com/associated_press/national/more-beans-and-less-red-meat-nutritionists-weigh-in-on-us-dietary-guidelines/article_fca3ab07-3025-59a6-9689-248ea9da9045.html</v>
      </c>
      <c r="C3207" s="2" t="s">
        <v>1902</v>
      </c>
      <c r="D3207" s="3">
        <v>45636</v>
      </c>
      <c r="E3207" s="2" t="s">
        <v>38</v>
      </c>
    </row>
    <row r="3208" spans="1:5" ht="70" x14ac:dyDescent="0.2">
      <c r="A3208" s="2" t="s">
        <v>292</v>
      </c>
      <c r="B3208" s="2" t="str">
        <f>HYPERLINK("https://www.djournal.com/news/nation-world/more-beans-and-less-red-meat-nutrition-experts-weigh-in-on-us-dietary-guidelines/article_aa7836b6-edab-5dca-9dbf-78d4028b5b19.html")</f>
        <v>https://www.djournal.com/news/nation-world/more-beans-and-less-red-meat-nutrition-experts-weigh-in-on-us-dietary-guidelines/article_aa7836b6-edab-5dca-9dbf-78d4028b5b19.html</v>
      </c>
      <c r="C3208" s="2" t="s">
        <v>1910</v>
      </c>
      <c r="D3208" s="3">
        <v>45636</v>
      </c>
      <c r="E3208" s="2" t="s">
        <v>38</v>
      </c>
    </row>
    <row r="3209" spans="1:5" ht="84" x14ac:dyDescent="0.2">
      <c r="A3209" s="2" t="s">
        <v>122</v>
      </c>
      <c r="B3209" s="2" t="str">
        <f>HYPERLINK("https://www.union-bulletin.com/news/national/more-beans-and-less-red-meat-nutritionists-weigh-in-on-us-dietary-guidelines/article_3b0f9fef-c011-59b4-a3d6-763f4743bae1.html")</f>
        <v>https://www.union-bulletin.com/news/national/more-beans-and-less-red-meat-nutritionists-weigh-in-on-us-dietary-guidelines/article_3b0f9fef-c011-59b4-a3d6-763f4743bae1.html</v>
      </c>
      <c r="C3209" s="2" t="s">
        <v>1877</v>
      </c>
      <c r="D3209" s="3">
        <v>45636</v>
      </c>
      <c r="E3209" s="2" t="s">
        <v>38</v>
      </c>
    </row>
    <row r="3210" spans="1:5" ht="84" x14ac:dyDescent="0.2">
      <c r="A3210" s="2" t="s">
        <v>292</v>
      </c>
      <c r="B3210" s="2" t="str">
        <f>HYPERLINK("https://www.union-bulletin.com/news/national/more-beans-and-less-red-meat-nutrition-experts-weigh-in-on-us-dietary-guidelines/article_3b0f9fef-c011-59b4-a3d6-763f4743bae1.html")</f>
        <v>https://www.union-bulletin.com/news/national/more-beans-and-less-red-meat-nutrition-experts-weigh-in-on-us-dietary-guidelines/article_3b0f9fef-c011-59b4-a3d6-763f4743bae1.html</v>
      </c>
      <c r="C3210" s="2" t="s">
        <v>1877</v>
      </c>
      <c r="D3210" s="3">
        <v>45636</v>
      </c>
      <c r="E3210" s="2" t="s">
        <v>38</v>
      </c>
    </row>
    <row r="3211" spans="1:5" ht="56" x14ac:dyDescent="0.2">
      <c r="A3211" s="2" t="s">
        <v>1233</v>
      </c>
      <c r="B3211" s="2" t="str">
        <f>HYPERLINK("https://www.aspendailynews.com/associated_press/ap-news-in-brief-at-6-04-p-m-est/article_fc35e564-982e-5c96-90f8-cecde9e72868.html")</f>
        <v>https://www.aspendailynews.com/associated_press/ap-news-in-brief-at-6-04-p-m-est/article_fc35e564-982e-5c96-90f8-cecde9e72868.html</v>
      </c>
      <c r="C3211" s="2" t="s">
        <v>1918</v>
      </c>
      <c r="D3211" s="3">
        <v>45636</v>
      </c>
      <c r="E3211" s="2" t="s">
        <v>38</v>
      </c>
    </row>
    <row r="3212" spans="1:5" ht="70" x14ac:dyDescent="0.2">
      <c r="A3212" s="2" t="s">
        <v>292</v>
      </c>
      <c r="B3212" s="2" t="str">
        <f>HYPERLINK("https://www.aspendailynews.com/associated_press/more-beans-and-less-red-meat-nutrition-experts-weigh-in-on-us-dietary-guidelines/article_be87d861-0a57-56e2-b031-02033d89ae26.html")</f>
        <v>https://www.aspendailynews.com/associated_press/more-beans-and-less-red-meat-nutrition-experts-weigh-in-on-us-dietary-guidelines/article_be87d861-0a57-56e2-b031-02033d89ae26.html</v>
      </c>
      <c r="C3212" s="2" t="s">
        <v>1918</v>
      </c>
      <c r="D3212" s="3">
        <v>45636</v>
      </c>
      <c r="E3212" s="2" t="s">
        <v>38</v>
      </c>
    </row>
    <row r="3213" spans="1:5" ht="84" x14ac:dyDescent="0.2">
      <c r="A3213" s="2" t="s">
        <v>122</v>
      </c>
      <c r="B3213" s="2" t="str">
        <f>HYPERLINK("https://www.lancasterfarming.com/news/associated_press/more-beans-and-less-red-meat-nutritionists-weigh-in-on-us-dietary-guidelines/article_8a38275e-9bcf-522b-8d9a-ab4043861603.html")</f>
        <v>https://www.lancasterfarming.com/news/associated_press/more-beans-and-less-red-meat-nutritionists-weigh-in-on-us-dietary-guidelines/article_8a38275e-9bcf-522b-8d9a-ab4043861603.html</v>
      </c>
      <c r="C3213" s="2" t="s">
        <v>2006</v>
      </c>
      <c r="D3213" s="3">
        <v>45636</v>
      </c>
      <c r="E3213" s="2" t="s">
        <v>38</v>
      </c>
    </row>
    <row r="3214" spans="1:5" ht="84" x14ac:dyDescent="0.2">
      <c r="A3214" s="2" t="s">
        <v>292</v>
      </c>
      <c r="B3214" s="2" t="str">
        <f>HYPERLINK("https://www.lancasterfarming.com/news/associated_press/more-beans-and-less-red-meat-nutrition-experts-weigh-in-on-us-dietary-guidelines/article_8a38275e-9bcf-522b-8d9a-ab4043861603.html")</f>
        <v>https://www.lancasterfarming.com/news/associated_press/more-beans-and-less-red-meat-nutrition-experts-weigh-in-on-us-dietary-guidelines/article_8a38275e-9bcf-522b-8d9a-ab4043861603.html</v>
      </c>
      <c r="C3214" s="2" t="s">
        <v>2006</v>
      </c>
      <c r="D3214" s="3">
        <v>45636</v>
      </c>
      <c r="E3214" s="2" t="s">
        <v>38</v>
      </c>
    </row>
    <row r="3215" spans="1:5" ht="70" x14ac:dyDescent="0.2">
      <c r="A3215" s="2" t="s">
        <v>122</v>
      </c>
      <c r="B3215" s="2" t="str">
        <f>HYPERLINK("https://www.nvdaily.com/associated_press_national/more-beans-and-less-red-meat-nutritionists-weigh-in-on-us-dietary-guidelines/article_1f635479-c3c5-52b1-a401-16c08a7c21fb.html")</f>
        <v>https://www.nvdaily.com/associated_press_national/more-beans-and-less-red-meat-nutritionists-weigh-in-on-us-dietary-guidelines/article_1f635479-c3c5-52b1-a401-16c08a7c21fb.html</v>
      </c>
      <c r="C3215" s="2" t="s">
        <v>1998</v>
      </c>
      <c r="D3215" s="3">
        <v>45636</v>
      </c>
      <c r="E3215" s="2" t="s">
        <v>38</v>
      </c>
    </row>
    <row r="3216" spans="1:5" ht="70" x14ac:dyDescent="0.2">
      <c r="A3216" s="2" t="s">
        <v>122</v>
      </c>
      <c r="B3216" s="2" t="str">
        <f>HYPERLINK("https://www.kulr8.com/news/national/more-beans-and-less-red-meat-nutritionists-weigh-in-on-us-dietary-guidelines/article_e70dc6b8-b436-59c6-ac33-9f443f28c7d3.html")</f>
        <v>https://www.kulr8.com/news/national/more-beans-and-less-red-meat-nutritionists-weigh-in-on-us-dietary-guidelines/article_e70dc6b8-b436-59c6-ac33-9f443f28c7d3.html</v>
      </c>
      <c r="C3216" s="2" t="s">
        <v>2042</v>
      </c>
      <c r="D3216" s="3">
        <v>45636</v>
      </c>
      <c r="E3216" s="2" t="s">
        <v>38</v>
      </c>
    </row>
    <row r="3217" spans="1:5" ht="70" x14ac:dyDescent="0.2">
      <c r="A3217" s="2" t="s">
        <v>292</v>
      </c>
      <c r="B3217" s="2" t="str">
        <f>HYPERLINK("https://www.kulr8.com/news/national/more-beans-and-less-red-meat-nutrition-experts-weigh-in-on-us-dietary-guidelines/article_e70dc6b8-b436-59c6-ac33-9f443f28c7d3.html")</f>
        <v>https://www.kulr8.com/news/national/more-beans-and-less-red-meat-nutrition-experts-weigh-in-on-us-dietary-guidelines/article_e70dc6b8-b436-59c6-ac33-9f443f28c7d3.html</v>
      </c>
      <c r="C3217" s="2" t="s">
        <v>2042</v>
      </c>
      <c r="D3217" s="3">
        <v>45636</v>
      </c>
      <c r="E3217" s="2" t="s">
        <v>38</v>
      </c>
    </row>
    <row r="3218" spans="1:5" ht="84" x14ac:dyDescent="0.2">
      <c r="A3218" s="2" t="s">
        <v>122</v>
      </c>
      <c r="B3218" s="2" t="str">
        <f>HYPERLINK("https://www.mankatofreepress.com/news/state_national_news/more-beans-and-less-red-meat-nutritionists-weigh-in-on-us-dietary-guidelines/article_af74fa7c-4a92-558c-870f-1f7fde91203c.html")</f>
        <v>https://www.mankatofreepress.com/news/state_national_news/more-beans-and-less-red-meat-nutritionists-weigh-in-on-us-dietary-guidelines/article_af74fa7c-4a92-558c-870f-1f7fde91203c.html</v>
      </c>
      <c r="C3218" s="2" t="s">
        <v>2043</v>
      </c>
      <c r="D3218" s="3">
        <v>45636</v>
      </c>
      <c r="E3218" s="2" t="s">
        <v>38</v>
      </c>
    </row>
    <row r="3219" spans="1:5" ht="84" x14ac:dyDescent="0.2">
      <c r="A3219" s="2" t="s">
        <v>292</v>
      </c>
      <c r="B3219" s="2" t="str">
        <f>HYPERLINK("https://www.mankatofreepress.com/news/state_national_news/more-beans-and-less-red-meat-nutrition-experts-weigh-in-on-us-dietary-guidelines/article_af74fa7c-4a92-558c-870f-1f7fde91203c.html")</f>
        <v>https://www.mankatofreepress.com/news/state_national_news/more-beans-and-less-red-meat-nutrition-experts-weigh-in-on-us-dietary-guidelines/article_af74fa7c-4a92-558c-870f-1f7fde91203c.html</v>
      </c>
      <c r="C3219" s="2" t="s">
        <v>2043</v>
      </c>
      <c r="D3219" s="3">
        <v>45636</v>
      </c>
      <c r="E3219" s="2" t="s">
        <v>38</v>
      </c>
    </row>
    <row r="3220" spans="1:5" ht="70" x14ac:dyDescent="0.2">
      <c r="A3220" s="2" t="s">
        <v>122</v>
      </c>
      <c r="B3220" s="2" t="str">
        <f>HYPERLINK("https://www.gjsentinel.com/news/us/more-beans-and-less-red-meat-nutritionists-weigh-in-on-us-dietary-guidelines/article_cb5aa045-5dff-5a86-8cca-a4732e8e29b9.html")</f>
        <v>https://www.gjsentinel.com/news/us/more-beans-and-less-red-meat-nutritionists-weigh-in-on-us-dietary-guidelines/article_cb5aa045-5dff-5a86-8cca-a4732e8e29b9.html</v>
      </c>
      <c r="C3220" s="2" t="s">
        <v>2053</v>
      </c>
      <c r="D3220" s="3">
        <v>45636</v>
      </c>
      <c r="E3220" s="2" t="s">
        <v>38</v>
      </c>
    </row>
    <row r="3221" spans="1:5" ht="70" x14ac:dyDescent="0.2">
      <c r="A3221" s="2" t="s">
        <v>122</v>
      </c>
      <c r="B3221" s="2" t="str">
        <f>HYPERLINK("https://www.bdtonline.com/news/nation_world/more-beans-and-less-red-meat-nutritionists-weigh-in-on-us-dietary-guidelines/article_4be4296d-7e4f-54d4-adc2-26e471c49a7b.html")</f>
        <v>https://www.bdtonline.com/news/nation_world/more-beans-and-less-red-meat-nutritionists-weigh-in-on-us-dietary-guidelines/article_4be4296d-7e4f-54d4-adc2-26e471c49a7b.html</v>
      </c>
      <c r="C3221" s="2" t="s">
        <v>1949</v>
      </c>
      <c r="D3221" s="3">
        <v>45636</v>
      </c>
      <c r="E3221" s="2" t="s">
        <v>38</v>
      </c>
    </row>
    <row r="3222" spans="1:5" ht="70" x14ac:dyDescent="0.2">
      <c r="A3222" s="2" t="s">
        <v>122</v>
      </c>
      <c r="B3222" s="2" t="str">
        <f>HYPERLINK("https://www.wellandtribune.ca/life/more-beans-and-less-red-meat-nutritionists-weigh-in-on-us-dietary-guidelines/article_c0a10c18-b482-5893-b51c-f444635d2a68.html")</f>
        <v>https://www.wellandtribune.ca/life/more-beans-and-less-red-meat-nutritionists-weigh-in-on-us-dietary-guidelines/article_c0a10c18-b482-5893-b51c-f444635d2a68.html</v>
      </c>
      <c r="C3222" s="2" t="s">
        <v>1748</v>
      </c>
      <c r="D3222" s="3">
        <v>45636</v>
      </c>
      <c r="E3222" s="2" t="s">
        <v>38</v>
      </c>
    </row>
    <row r="3223" spans="1:5" ht="70" x14ac:dyDescent="0.2">
      <c r="A3223" s="2" t="s">
        <v>122</v>
      </c>
      <c r="B3223" s="2" t="str">
        <f>HYPERLINK("https://kdhnews.com/news/ap/more-beans-and-less-red-meat-nutritionists-weigh-in-on-us-dietary-guidelines/article_4cc5e1c3-5e7e-5b6b-9409-6a2bca601f52.html")</f>
        <v>https://kdhnews.com/news/ap/more-beans-and-less-red-meat-nutritionists-weigh-in-on-us-dietary-guidelines/article_4cc5e1c3-5e7e-5b6b-9409-6a2bca601f52.html</v>
      </c>
      <c r="C3223" s="2" t="s">
        <v>2102</v>
      </c>
      <c r="D3223" s="3">
        <v>45636</v>
      </c>
      <c r="E3223" s="2" t="s">
        <v>38</v>
      </c>
    </row>
    <row r="3224" spans="1:5" ht="70" x14ac:dyDescent="0.2">
      <c r="A3224" s="2" t="s">
        <v>292</v>
      </c>
      <c r="B3224" s="2" t="str">
        <f>HYPERLINK("https://kdhnews.com/news/nation/more-beans-and-less-red-meat-nutrition-experts-weigh-in-on-us-dietary-guidelines/article_4cc5e1c3-5e7e-5b6b-9409-6a2bca601f52.html")</f>
        <v>https://kdhnews.com/news/nation/more-beans-and-less-red-meat-nutrition-experts-weigh-in-on-us-dietary-guidelines/article_4cc5e1c3-5e7e-5b6b-9409-6a2bca601f52.html</v>
      </c>
      <c r="C3224" s="2" t="s">
        <v>2102</v>
      </c>
      <c r="D3224" s="3">
        <v>45636</v>
      </c>
      <c r="E3224" s="2" t="s">
        <v>38</v>
      </c>
    </row>
    <row r="3225" spans="1:5" ht="70" x14ac:dyDescent="0.2">
      <c r="A3225" s="2" t="s">
        <v>292</v>
      </c>
      <c r="B3225" s="2" t="str">
        <f>HYPERLINK("https://www.dailyitem.com/wire/more-beans-and-less-red-meat-nutrition-experts-weigh-in-on-us-dietary-guidelines/article_2d781e94-8dba-563e-a879-05efc6b45ad8.html")</f>
        <v>https://www.dailyitem.com/wire/more-beans-and-less-red-meat-nutrition-experts-weigh-in-on-us-dietary-guidelines/article_2d781e94-8dba-563e-a879-05efc6b45ad8.html</v>
      </c>
      <c r="C3225" s="2" t="s">
        <v>2128</v>
      </c>
      <c r="D3225" s="3">
        <v>45636</v>
      </c>
      <c r="E3225" s="2" t="s">
        <v>38</v>
      </c>
    </row>
    <row r="3226" spans="1:5" ht="70" x14ac:dyDescent="0.2">
      <c r="A3226" s="2" t="s">
        <v>292</v>
      </c>
      <c r="B3226" s="2" t="str">
        <f>HYPERLINK("https://www.idahostatejournal.com/news/national/more-beans-and-less-red-meat-nutrition-experts-weigh-in-on-us-dietary-guidelines/article_a0b11bd8-c898-5adc-b7a7-08635bc11a89.html")</f>
        <v>https://www.idahostatejournal.com/news/national/more-beans-and-less-red-meat-nutrition-experts-weigh-in-on-us-dietary-guidelines/article_a0b11bd8-c898-5adc-b7a7-08635bc11a89.html</v>
      </c>
      <c r="C3226" s="2" t="s">
        <v>2140</v>
      </c>
      <c r="D3226" s="3">
        <v>45636</v>
      </c>
      <c r="E3226" s="2" t="s">
        <v>38</v>
      </c>
    </row>
    <row r="3227" spans="1:5" ht="70" x14ac:dyDescent="0.2">
      <c r="A3227" s="2" t="s">
        <v>122</v>
      </c>
      <c r="B3227" s="2" t="str">
        <f>HYPERLINK("https://www.idahostatejournal.com/news/national/more-beans-and-less-red-meat-nutritionists-weigh-in-on-us-dietary-guidelines/article_a0b11bd8-c898-5adc-b7a7-08635bc11a89.html")</f>
        <v>https://www.idahostatejournal.com/news/national/more-beans-and-less-red-meat-nutritionists-weigh-in-on-us-dietary-guidelines/article_a0b11bd8-c898-5adc-b7a7-08635bc11a89.html</v>
      </c>
      <c r="C3227" s="2" t="s">
        <v>2140</v>
      </c>
      <c r="D3227" s="3">
        <v>45636</v>
      </c>
      <c r="E3227" s="2" t="s">
        <v>38</v>
      </c>
    </row>
    <row r="3228" spans="1:5" ht="56" x14ac:dyDescent="0.2">
      <c r="A3228" s="2" t="s">
        <v>1233</v>
      </c>
      <c r="B3228" s="2" t="str">
        <f>HYPERLINK("https://www.idahostatejournal.com/news/national/ap-news-in-brief-at-6-04-p-m-est/article_c4ce06e4-b4c9-599f-8048-f5af6fb2d5f0.html")</f>
        <v>https://www.idahostatejournal.com/news/national/ap-news-in-brief-at-6-04-p-m-est/article_c4ce06e4-b4c9-599f-8048-f5af6fb2d5f0.html</v>
      </c>
      <c r="C3228" s="2" t="s">
        <v>2140</v>
      </c>
      <c r="D3228" s="3">
        <v>45636</v>
      </c>
      <c r="E3228" s="2" t="s">
        <v>38</v>
      </c>
    </row>
    <row r="3229" spans="1:5" ht="70" x14ac:dyDescent="0.2">
      <c r="A3229" s="2" t="s">
        <v>292</v>
      </c>
      <c r="B3229" s="2" t="str">
        <f>HYPERLINK("https://www.newspressnow.com/news/national_news/more-beans-and-less-red-meat-nutrition-experts-weigh-in-on-us-dietary-guidelines/article_695c8600-f820-5431-a544-2b1c68dedefa.html")</f>
        <v>https://www.newspressnow.com/news/national_news/more-beans-and-less-red-meat-nutrition-experts-weigh-in-on-us-dietary-guidelines/article_695c8600-f820-5431-a544-2b1c68dedefa.html</v>
      </c>
      <c r="C3229" s="2" t="s">
        <v>2081</v>
      </c>
      <c r="D3229" s="3">
        <v>45636</v>
      </c>
      <c r="E3229" s="2" t="s">
        <v>38</v>
      </c>
    </row>
    <row r="3230" spans="1:5" ht="70" x14ac:dyDescent="0.2">
      <c r="A3230" s="2" t="s">
        <v>122</v>
      </c>
      <c r="B3230" s="2" t="str">
        <f>HYPERLINK("https://www.newspressnow.com/news/national_news/more-beans-and-less-red-meat-nutritionists-weigh-in-on-us-dietary-guidelines/article_695c8600-f820-5431-a544-2b1c68dedefa.html")</f>
        <v>https://www.newspressnow.com/news/national_news/more-beans-and-less-red-meat-nutritionists-weigh-in-on-us-dietary-guidelines/article_695c8600-f820-5431-a544-2b1c68dedefa.html</v>
      </c>
      <c r="C3230" s="2" t="s">
        <v>2081</v>
      </c>
      <c r="D3230" s="3">
        <v>45636</v>
      </c>
      <c r="E3230" s="2" t="s">
        <v>38</v>
      </c>
    </row>
    <row r="3231" spans="1:5" ht="70" x14ac:dyDescent="0.2">
      <c r="A3231" s="2" t="s">
        <v>292</v>
      </c>
      <c r="B3231" s="2" t="str">
        <f>HYPERLINK("https://www.news8000.com/news/national-world/more-beans-and-less-red-meat-nutrition-experts-weigh-in-on-us-dietary-guidelines/article_2a4b6017-0376-5430-8738-804f662af02a.html")</f>
        <v>https://www.news8000.com/news/national-world/more-beans-and-less-red-meat-nutrition-experts-weigh-in-on-us-dietary-guidelines/article_2a4b6017-0376-5430-8738-804f662af02a.html</v>
      </c>
      <c r="C3231" s="2" t="s">
        <v>2192</v>
      </c>
      <c r="D3231" s="3">
        <v>45636</v>
      </c>
      <c r="E3231" s="2" t="s">
        <v>38</v>
      </c>
    </row>
    <row r="3232" spans="1:5" ht="70" x14ac:dyDescent="0.2">
      <c r="A3232" s="2" t="s">
        <v>122</v>
      </c>
      <c r="B3232" s="2" t="str">
        <f>HYPERLINK("https://www.news8000.com/news/national-world/more-beans-and-less-red-meat-nutritionists-weigh-in-on-us-dietary-guidelines/article_2a4b6017-0376-5430-8738-804f662af02a.html")</f>
        <v>https://www.news8000.com/news/national-world/more-beans-and-less-red-meat-nutritionists-weigh-in-on-us-dietary-guidelines/article_2a4b6017-0376-5430-8738-804f662af02a.html</v>
      </c>
      <c r="C3232" s="2" t="s">
        <v>2192</v>
      </c>
      <c r="D3232" s="3">
        <v>45636</v>
      </c>
      <c r="E3232" s="2" t="s">
        <v>38</v>
      </c>
    </row>
    <row r="3233" spans="1:5" ht="70" x14ac:dyDescent="0.2">
      <c r="A3233" s="2" t="s">
        <v>122</v>
      </c>
      <c r="B3233" s="2" t="str">
        <f>HYPERLINK("https://www.galvnews.com/news_ap/nation/more-beans-and-less-red-meat-nutritionists-weigh-in-on-us-dietary-guidelines/article_5c725575-8517-526d-99fb-6279f02fb789.html")</f>
        <v>https://www.galvnews.com/news_ap/nation/more-beans-and-less-red-meat-nutritionists-weigh-in-on-us-dietary-guidelines/article_5c725575-8517-526d-99fb-6279f02fb789.html</v>
      </c>
      <c r="C3233" s="2" t="s">
        <v>2220</v>
      </c>
      <c r="D3233" s="3">
        <v>45636</v>
      </c>
      <c r="E3233" s="2" t="s">
        <v>38</v>
      </c>
    </row>
    <row r="3234" spans="1:5" ht="70" x14ac:dyDescent="0.2">
      <c r="A3234" s="2" t="s">
        <v>122</v>
      </c>
      <c r="B3234" s="2" t="str">
        <f>HYPERLINK("https://www.bozemandailychronicle.com/ap_news/more-beans-and-less-red-meat-nutritionists-weigh-in-on-us-dietary-guidelines/article_26304bda-17a7-5606-bd9e-332b07474a81.html")</f>
        <v>https://www.bozemandailychronicle.com/ap_news/more-beans-and-less-red-meat-nutritionists-weigh-in-on-us-dietary-guidelines/article_26304bda-17a7-5606-bd9e-332b07474a81.html</v>
      </c>
      <c r="C3234" s="2" t="s">
        <v>2219</v>
      </c>
      <c r="D3234" s="3">
        <v>45636</v>
      </c>
      <c r="E3234" s="2" t="s">
        <v>38</v>
      </c>
    </row>
    <row r="3235" spans="1:5" ht="70" x14ac:dyDescent="0.2">
      <c r="A3235" s="2" t="s">
        <v>292</v>
      </c>
      <c r="B3235" s="2" t="str">
        <f>HYPERLINK("https://www.smdailyjournal.com/lifestyle/more-beans-and-less-red-meat-nutrition-experts-weigh-in-on-us-dietary-guidelines/article_187f8361-4469-53ad-b413-d60cf3019a25.html")</f>
        <v>https://www.smdailyjournal.com/lifestyle/more-beans-and-less-red-meat-nutrition-experts-weigh-in-on-us-dietary-guidelines/article_187f8361-4469-53ad-b413-d60cf3019a25.html</v>
      </c>
      <c r="C3235" s="2" t="s">
        <v>2202</v>
      </c>
      <c r="D3235" s="3">
        <v>45636</v>
      </c>
      <c r="E3235" s="2" t="s">
        <v>38</v>
      </c>
    </row>
    <row r="3236" spans="1:5" ht="70" x14ac:dyDescent="0.2">
      <c r="A3236" s="2" t="s">
        <v>122</v>
      </c>
      <c r="B3236" s="2" t="str">
        <f>HYPERLINK("https://www.smdailyjournal.com/lifestyle/more-beans-and-less-red-meat-nutritionists-weigh-in-on-us-dietary-guidelines/article_187f8361-4469-53ad-b413-d60cf3019a25.html")</f>
        <v>https://www.smdailyjournal.com/lifestyle/more-beans-and-less-red-meat-nutritionists-weigh-in-on-us-dietary-guidelines/article_187f8361-4469-53ad-b413-d60cf3019a25.html</v>
      </c>
      <c r="C3236" s="2" t="s">
        <v>2202</v>
      </c>
      <c r="D3236" s="3">
        <v>45636</v>
      </c>
      <c r="E3236" s="2" t="s">
        <v>38</v>
      </c>
    </row>
    <row r="3237" spans="1:5" ht="56" x14ac:dyDescent="0.2">
      <c r="A3237" s="2" t="s">
        <v>1233</v>
      </c>
      <c r="B3237" s="2" t="str">
        <f>HYPERLINK("https://www.smdailyjournal.com/news/national/ap-news-in-brief-at-6-04-p-m-est/article_585f3bde-f920-5902-9696-d5d4b3820484.html")</f>
        <v>https://www.smdailyjournal.com/news/national/ap-news-in-brief-at-6-04-p-m-est/article_585f3bde-f920-5902-9696-d5d4b3820484.html</v>
      </c>
      <c r="C3237" s="2" t="s">
        <v>2202</v>
      </c>
      <c r="D3237" s="3">
        <v>45636</v>
      </c>
      <c r="E3237" s="2" t="s">
        <v>38</v>
      </c>
    </row>
    <row r="3238" spans="1:5" ht="42" x14ac:dyDescent="0.2">
      <c r="A3238" s="2" t="s">
        <v>292</v>
      </c>
      <c r="B3238" s="2" t="str">
        <f>HYPERLINK("http://accesswdun.com/article/2024/12/1276256")</f>
        <v>http://accesswdun.com/article/2024/12/1276256</v>
      </c>
      <c r="C3238" s="2" t="s">
        <v>2256</v>
      </c>
      <c r="D3238" s="3">
        <v>45636</v>
      </c>
      <c r="E3238" s="2" t="s">
        <v>38</v>
      </c>
    </row>
    <row r="3239" spans="1:5" ht="42" x14ac:dyDescent="0.2">
      <c r="A3239" s="2" t="s">
        <v>122</v>
      </c>
      <c r="B3239" s="2" t="str">
        <f>HYPERLINK("http://accesswdun.com/article/2024/12/1276230")</f>
        <v>http://accesswdun.com/article/2024/12/1276230</v>
      </c>
      <c r="C3239" s="2" t="s">
        <v>2256</v>
      </c>
      <c r="D3239" s="3">
        <v>45636</v>
      </c>
      <c r="E3239" s="2" t="s">
        <v>38</v>
      </c>
    </row>
    <row r="3240" spans="1:5" ht="84" x14ac:dyDescent="0.2">
      <c r="A3240" s="2" t="s">
        <v>292</v>
      </c>
      <c r="B3240" s="2" t="str">
        <f>HYPERLINK("https://www.yakimaherald.com/news/nation_and_world/nation/more-beans-and-less-red-meat-nutrition-experts-weigh-in-on-us-dietary-guidelines/article_9efafe3b-905a-5ff5-97cd-aa6301f48276.html")</f>
        <v>https://www.yakimaherald.com/news/nation_and_world/nation/more-beans-and-less-red-meat-nutrition-experts-weigh-in-on-us-dietary-guidelines/article_9efafe3b-905a-5ff5-97cd-aa6301f48276.html</v>
      </c>
      <c r="C3240" s="2" t="s">
        <v>2326</v>
      </c>
      <c r="D3240" s="3">
        <v>45636</v>
      </c>
      <c r="E3240" s="2" t="s">
        <v>38</v>
      </c>
    </row>
    <row r="3241" spans="1:5" ht="84" x14ac:dyDescent="0.2">
      <c r="A3241" s="2" t="s">
        <v>122</v>
      </c>
      <c r="B3241" s="2" t="str">
        <f>HYPERLINK("https://www.news-gazette.com/news/nation-world/more-beans-and-less-red-meat-nutritionists-weigh-in-on-us-dietary-guidelines/article_aadcf6a1-f8a3-5efe-b18e-bcfb467bfcbf.html")</f>
        <v>https://www.news-gazette.com/news/nation-world/more-beans-and-less-red-meat-nutritionists-weigh-in-on-us-dietary-guidelines/article_aadcf6a1-f8a3-5efe-b18e-bcfb467bfcbf.html</v>
      </c>
      <c r="C3241" s="2" t="s">
        <v>2365</v>
      </c>
      <c r="D3241" s="3">
        <v>45636</v>
      </c>
      <c r="E3241" s="2" t="s">
        <v>38</v>
      </c>
    </row>
    <row r="3242" spans="1:5" ht="84" x14ac:dyDescent="0.2">
      <c r="A3242" s="2" t="s">
        <v>292</v>
      </c>
      <c r="B3242" s="2" t="str">
        <f>HYPERLINK("https://www.news-gazette.com/news/nation-world/more-beans-and-less-red-meat-nutrition-experts-weigh-in-on-us-dietary-guidelines/article_aadcf6a1-f8a3-5efe-b18e-bcfb467bfcbf.html")</f>
        <v>https://www.news-gazette.com/news/nation-world/more-beans-and-less-red-meat-nutrition-experts-weigh-in-on-us-dietary-guidelines/article_aadcf6a1-f8a3-5efe-b18e-bcfb467bfcbf.html</v>
      </c>
      <c r="C3242" s="2" t="s">
        <v>2365</v>
      </c>
      <c r="D3242" s="3">
        <v>45636</v>
      </c>
      <c r="E3242" s="2" t="s">
        <v>38</v>
      </c>
    </row>
    <row r="3243" spans="1:5" ht="42" x14ac:dyDescent="0.2">
      <c r="A3243" s="2" t="s">
        <v>292</v>
      </c>
      <c r="B3243" s="2" t="str">
        <f>HYPERLINK("https://www.riverbender.com/topnews/details.cfm?id=467763")</f>
        <v>https://www.riverbender.com/topnews/details.cfm?id=467763</v>
      </c>
      <c r="C3243" s="2" t="s">
        <v>2139</v>
      </c>
      <c r="D3243" s="3">
        <v>45636</v>
      </c>
      <c r="E3243" s="2" t="s">
        <v>38</v>
      </c>
    </row>
    <row r="3244" spans="1:5" ht="70" x14ac:dyDescent="0.2">
      <c r="A3244" s="2" t="s">
        <v>122</v>
      </c>
      <c r="B3244" s="2" t="str">
        <f>HYPERLINK("https://www.stcatharinesstandard.ca/life/more-beans-and-less-red-meat-nutritionists-weigh-in-on-us-dietary-guidelines/article_5604d323-732f-5b23-8985-e3dddcb29716.html")</f>
        <v>https://www.stcatharinesstandard.ca/life/more-beans-and-less-red-meat-nutritionists-weigh-in-on-us-dietary-guidelines/article_5604d323-732f-5b23-8985-e3dddcb29716.html</v>
      </c>
      <c r="C3244" s="2" t="s">
        <v>2398</v>
      </c>
      <c r="D3244" s="3">
        <v>45636</v>
      </c>
      <c r="E3244" s="2" t="s">
        <v>38</v>
      </c>
    </row>
    <row r="3245" spans="1:5" ht="70" x14ac:dyDescent="0.2">
      <c r="A3245" s="2" t="s">
        <v>122</v>
      </c>
      <c r="B3245" s="2" t="str">
        <f>HYPERLINK("https://www.wvnews.com/newsfeed/us/more-beans-and-less-red-meat-nutritionists-weigh-in-on-us-dietary-guidelines/article_4abaad2a-ec58-58b8-9307-e88d2cfb4067.html")</f>
        <v>https://www.wvnews.com/newsfeed/us/more-beans-and-less-red-meat-nutritionists-weigh-in-on-us-dietary-guidelines/article_4abaad2a-ec58-58b8-9307-e88d2cfb4067.html</v>
      </c>
      <c r="C3245" s="2" t="s">
        <v>2453</v>
      </c>
      <c r="D3245" s="3">
        <v>45636</v>
      </c>
      <c r="E3245" s="2" t="s">
        <v>38</v>
      </c>
    </row>
    <row r="3246" spans="1:5" ht="70" x14ac:dyDescent="0.2">
      <c r="A3246" s="2" t="s">
        <v>122</v>
      </c>
      <c r="B3246" s="2" t="str">
        <f>HYPERLINK("https://www.dailygazette.com/ap/lifestyles/more-beans-and-less-red-meat-nutritionists-weigh-in-on-us-dietary-guidelines/article_497c4067-03aa-5434-a792-f356db12e82b.html")</f>
        <v>https://www.dailygazette.com/ap/lifestyles/more-beans-and-less-red-meat-nutritionists-weigh-in-on-us-dietary-guidelines/article_497c4067-03aa-5434-a792-f356db12e82b.html</v>
      </c>
      <c r="C3246" s="2" t="s">
        <v>2460</v>
      </c>
      <c r="D3246" s="3">
        <v>45636</v>
      </c>
      <c r="E3246" s="2" t="s">
        <v>38</v>
      </c>
    </row>
    <row r="3247" spans="1:5" ht="70" x14ac:dyDescent="0.2">
      <c r="A3247" s="2" t="s">
        <v>122</v>
      </c>
      <c r="B3247" s="2" t="str">
        <f>HYPERLINK("https://www.2news.com/news/national/more-beans-and-less-red-meat-nutritionists-weigh-in-on-us-dietary-guidelines/article_a1f409d8-33aa-5ec6-8252-d1a31afef8dc.html")</f>
        <v>https://www.2news.com/news/national/more-beans-and-less-red-meat-nutritionists-weigh-in-on-us-dietary-guidelines/article_a1f409d8-33aa-5ec6-8252-d1a31afef8dc.html</v>
      </c>
      <c r="C3247" s="2" t="s">
        <v>2473</v>
      </c>
      <c r="D3247" s="3">
        <v>45636</v>
      </c>
      <c r="E3247" s="2" t="s">
        <v>38</v>
      </c>
    </row>
    <row r="3248" spans="1:5" ht="70" x14ac:dyDescent="0.2">
      <c r="A3248" s="2" t="s">
        <v>122</v>
      </c>
      <c r="B3248" s="2" t="str">
        <f>HYPERLINK("https://www.wandtv.com/news/national/more-beans-and-less-red-meat-nutritionists-weigh-in-on-us-dietary-guidelines/article_5a8d3f21-da69-553f-8d1b-b195e585bd69.html")</f>
        <v>https://www.wandtv.com/news/national/more-beans-and-less-red-meat-nutritionists-weigh-in-on-us-dietary-guidelines/article_5a8d3f21-da69-553f-8d1b-b195e585bd69.html</v>
      </c>
      <c r="C3248" s="2" t="s">
        <v>2475</v>
      </c>
      <c r="D3248" s="3">
        <v>45636</v>
      </c>
      <c r="E3248" s="2" t="s">
        <v>38</v>
      </c>
    </row>
    <row r="3249" spans="1:5" ht="70" x14ac:dyDescent="0.2">
      <c r="A3249" s="2" t="s">
        <v>292</v>
      </c>
      <c r="B3249" s="2" t="str">
        <f>HYPERLINK("https://www.wandtv.com/news/national/more-beans-and-less-red-meat-nutrition-experts-weigh-in-on-us-dietary-guidelines/article_5a8d3f21-da69-553f-8d1b-b195e585bd69.html")</f>
        <v>https://www.wandtv.com/news/national/more-beans-and-less-red-meat-nutrition-experts-weigh-in-on-us-dietary-guidelines/article_5a8d3f21-da69-553f-8d1b-b195e585bd69.html</v>
      </c>
      <c r="C3249" s="2" t="s">
        <v>2475</v>
      </c>
      <c r="D3249" s="3">
        <v>45636</v>
      </c>
      <c r="E3249" s="2" t="s">
        <v>38</v>
      </c>
    </row>
    <row r="3250" spans="1:5" ht="70" x14ac:dyDescent="0.2">
      <c r="A3250" s="2" t="s">
        <v>122</v>
      </c>
      <c r="B3250" s="2" t="str">
        <f>HYPERLINK("https://www.therecord.com/life/more-beans-and-less-red-meat-nutritionists-weigh-in-on-us-dietary-guidelines/article_b4ca0a0c-3af9-586a-b6f9-9664eb70152c.html")</f>
        <v>https://www.therecord.com/life/more-beans-and-less-red-meat-nutritionists-weigh-in-on-us-dietary-guidelines/article_b4ca0a0c-3af9-586a-b6f9-9664eb70152c.html</v>
      </c>
      <c r="C3250" s="2" t="s">
        <v>2648</v>
      </c>
      <c r="D3250" s="3">
        <v>45636</v>
      </c>
      <c r="E3250" s="2" t="s">
        <v>38</v>
      </c>
    </row>
    <row r="3251" spans="1:5" ht="70" x14ac:dyDescent="0.2">
      <c r="A3251" s="2" t="s">
        <v>292</v>
      </c>
      <c r="B3251" s="2" t="str">
        <f>HYPERLINK("https://www.therecord.com/life/more-beans-and-less-red-meat-nutrition-experts-weigh-in-on-us-dietary-guidelines/article_b4ca0a0c-3af9-586a-b6f9-9664eb70152c.html")</f>
        <v>https://www.therecord.com/life/more-beans-and-less-red-meat-nutrition-experts-weigh-in-on-us-dietary-guidelines/article_b4ca0a0c-3af9-586a-b6f9-9664eb70152c.html</v>
      </c>
      <c r="C3251" s="2" t="s">
        <v>2648</v>
      </c>
      <c r="D3251" s="3">
        <v>45636</v>
      </c>
      <c r="E3251" s="2" t="s">
        <v>38</v>
      </c>
    </row>
    <row r="3252" spans="1:5" ht="70" x14ac:dyDescent="0.2">
      <c r="A3252" s="2" t="s">
        <v>122</v>
      </c>
      <c r="B3252" s="2" t="str">
        <f>HYPERLINK("https://lancasteronline.com/news/health/more-beans-and-less-red-meat-nutritionists-weigh-in-on-us-dietary-guidelines/article_aa2b6900-1640-5354-8fd0-aaaf71e4a15d.html")</f>
        <v>https://lancasteronline.com/news/health/more-beans-and-less-red-meat-nutritionists-weigh-in-on-us-dietary-guidelines/article_aa2b6900-1640-5354-8fd0-aaaf71e4a15d.html</v>
      </c>
      <c r="C3252" s="2" t="s">
        <v>2697</v>
      </c>
      <c r="D3252" s="3">
        <v>45636</v>
      </c>
      <c r="E3252" s="2" t="s">
        <v>38</v>
      </c>
    </row>
    <row r="3253" spans="1:5" ht="70" x14ac:dyDescent="0.2">
      <c r="A3253" s="2" t="s">
        <v>292</v>
      </c>
      <c r="B3253" s="2" t="str">
        <f>HYPERLINK("https://lancasteronline.com/news/health/more-beans-and-less-red-meat-nutrition-experts-weigh-in-on-us-dietary-guidelines/article_aa2b6900-1640-5354-8fd0-aaaf71e4a15d.html")</f>
        <v>https://lancasteronline.com/news/health/more-beans-and-less-red-meat-nutrition-experts-weigh-in-on-us-dietary-guidelines/article_aa2b6900-1640-5354-8fd0-aaaf71e4a15d.html</v>
      </c>
      <c r="C3253" s="2" t="s">
        <v>2697</v>
      </c>
      <c r="D3253" s="3">
        <v>45636</v>
      </c>
      <c r="E3253" s="2" t="s">
        <v>38</v>
      </c>
    </row>
    <row r="3254" spans="1:5" ht="70" x14ac:dyDescent="0.2">
      <c r="A3254" s="2" t="s">
        <v>292</v>
      </c>
      <c r="B3254" s="2" t="str">
        <f>HYPERLINK("https://www.elvocero.com/more-beans-and-less-red-meat-nutrition-experts-weigh-in-on-us-dietary-guidelines/article_c051d40e-000b-58c2-8694-a776b594ad7e.html")</f>
        <v>https://www.elvocero.com/more-beans-and-less-red-meat-nutrition-experts-weigh-in-on-us-dietary-guidelines/article_c051d40e-000b-58c2-8694-a776b594ad7e.html</v>
      </c>
      <c r="C3254" s="2" t="s">
        <v>2733</v>
      </c>
      <c r="D3254" s="3">
        <v>45636</v>
      </c>
      <c r="E3254" s="2" t="s">
        <v>38</v>
      </c>
    </row>
    <row r="3255" spans="1:5" ht="70" x14ac:dyDescent="0.2">
      <c r="A3255" s="2" t="s">
        <v>122</v>
      </c>
      <c r="B3255" s="2" t="str">
        <f>HYPERLINK("http://www.wfmz.com/news/more-beans-and-less-red-meat-nutritionists-weigh-in-on-us-dietary-guidelines/article_63ea6fff-6135-5f4e-a534-05f1cac6c3dd.html")</f>
        <v>http://www.wfmz.com/news/more-beans-and-less-red-meat-nutritionists-weigh-in-on-us-dietary-guidelines/article_63ea6fff-6135-5f4e-a534-05f1cac6c3dd.html</v>
      </c>
      <c r="C3255" s="2" t="s">
        <v>2745</v>
      </c>
      <c r="D3255" s="3">
        <v>45636</v>
      </c>
      <c r="E3255" s="2" t="s">
        <v>38</v>
      </c>
    </row>
    <row r="3256" spans="1:5" ht="70" x14ac:dyDescent="0.2">
      <c r="A3256" s="2" t="s">
        <v>122</v>
      </c>
      <c r="B3256" s="2" t="str">
        <f>HYPERLINK("https://www.wdrb.com/news/national/more-beans-and-less-red-meat-nutritionists-weigh-in-on-us-dietary-guidelines/article_64439a99-5f1e-51a2-bb14-5ba7c3b5aa66.html")</f>
        <v>https://www.wdrb.com/news/national/more-beans-and-less-red-meat-nutritionists-weigh-in-on-us-dietary-guidelines/article_64439a99-5f1e-51a2-bb14-5ba7c3b5aa66.html</v>
      </c>
      <c r="C3256" s="2" t="s">
        <v>2812</v>
      </c>
      <c r="D3256" s="3">
        <v>45636</v>
      </c>
      <c r="E3256" s="2" t="s">
        <v>38</v>
      </c>
    </row>
    <row r="3257" spans="1:5" ht="70" x14ac:dyDescent="0.2">
      <c r="A3257" s="2" t="s">
        <v>292</v>
      </c>
      <c r="B3257" s="2" t="str">
        <f>HYPERLINK("https://www.wdrb.com/news/national/more-beans-and-less-red-meat-nutrition-experts-weigh-in-on-us-dietary-guidelines/article_64439a99-5f1e-51a2-bb14-5ba7c3b5aa66.html")</f>
        <v>https://www.wdrb.com/news/national/more-beans-and-less-red-meat-nutrition-experts-weigh-in-on-us-dietary-guidelines/article_64439a99-5f1e-51a2-bb14-5ba7c3b5aa66.html</v>
      </c>
      <c r="C3257" s="2" t="s">
        <v>2812</v>
      </c>
      <c r="D3257" s="3">
        <v>45636</v>
      </c>
      <c r="E3257" s="2" t="s">
        <v>38</v>
      </c>
    </row>
    <row r="3258" spans="1:5" ht="70" x14ac:dyDescent="0.2">
      <c r="A3258" s="2" t="s">
        <v>122</v>
      </c>
      <c r="B3258" s="2" t="str">
        <f>HYPERLINK("https://www.thestar.com/news/world/united-states/more-beans-and-less-red-meat-nutritionists-weigh-in-on-us-dietary-guidelines/article_45ed62b8-cd77-5df8-b69a-d3c7b428702c.html")</f>
        <v>https://www.thestar.com/news/world/united-states/more-beans-and-less-red-meat-nutritionists-weigh-in-on-us-dietary-guidelines/article_45ed62b8-cd77-5df8-b69a-d3c7b428702c.html</v>
      </c>
      <c r="C3258" s="2" t="s">
        <v>3359</v>
      </c>
      <c r="D3258" s="3">
        <v>45636</v>
      </c>
      <c r="E3258" s="2" t="s">
        <v>38</v>
      </c>
    </row>
    <row r="3259" spans="1:5" ht="70" x14ac:dyDescent="0.2">
      <c r="A3259" s="2" t="s">
        <v>292</v>
      </c>
      <c r="B3259" s="2" t="str">
        <f>HYPERLINK("https://www.thestar.com/news/world/united-states/more-beans-and-less-red-meat-nutrition-experts-weigh-in-on-us-dietary-guidelines/article_45ed62b8-cd77-5df8-b69a-d3c7b428702c.html")</f>
        <v>https://www.thestar.com/news/world/united-states/more-beans-and-less-red-meat-nutrition-experts-weigh-in-on-us-dietary-guidelines/article_45ed62b8-cd77-5df8-b69a-d3c7b428702c.html</v>
      </c>
      <c r="C3259" s="2" t="s">
        <v>3359</v>
      </c>
      <c r="D3259" s="3">
        <v>45636</v>
      </c>
      <c r="E3259" s="2" t="s">
        <v>38</v>
      </c>
    </row>
    <row r="3260" spans="1:5" ht="70" x14ac:dyDescent="0.2">
      <c r="A3260" s="2" t="s">
        <v>122</v>
      </c>
      <c r="B3260" s="2" t="str">
        <f>HYPERLINK("https://www.yoursourceone.com/news/national_news/more-beans-and-less-red-meat-nutritionists-weigh-in-on-us-dietary-guidelines/article_8fe920df-34ba-5f8b-ab96-0d4e6f0c2575.html")</f>
        <v>https://www.yoursourceone.com/news/national_news/more-beans-and-less-red-meat-nutritionists-weigh-in-on-us-dietary-guidelines/article_8fe920df-34ba-5f8b-ab96-0d4e6f0c2575.html</v>
      </c>
      <c r="C3260" s="2" t="s">
        <v>3792</v>
      </c>
      <c r="D3260" s="3">
        <v>45636</v>
      </c>
      <c r="E3260" s="2" t="s">
        <v>38</v>
      </c>
    </row>
    <row r="3261" spans="1:5" ht="56" x14ac:dyDescent="0.2">
      <c r="A3261" s="2" t="s">
        <v>2894</v>
      </c>
      <c r="B3261" s="2" t="str">
        <f>HYPERLINK("https://www.gzt.com/gercek-hayat/itibar-suikasti-yapan-global-cete-mahkemelik-3791560")</f>
        <v>https://www.gzt.com/gercek-hayat/itibar-suikasti-yapan-global-cete-mahkemelik-3791560</v>
      </c>
      <c r="C3261" s="2" t="s">
        <v>2895</v>
      </c>
      <c r="D3261" s="3">
        <v>45636.099548611113</v>
      </c>
      <c r="E3261" s="2" t="s">
        <v>2896</v>
      </c>
    </row>
    <row r="3262" spans="1:5" ht="84" x14ac:dyDescent="0.2">
      <c r="A3262" s="2" t="s">
        <v>917</v>
      </c>
      <c r="B3262" s="2" t="str">
        <f>HYPERLINK("https://www.theepochtimes.com/health/rfk-jr-s-food-fight-can-he-change-americas-diet-5766696")</f>
        <v>https://www.theepochtimes.com/health/rfk-jr-s-food-fight-can-he-change-americas-diet-5766696</v>
      </c>
      <c r="C3262" s="2" t="s">
        <v>3381</v>
      </c>
      <c r="D3262" s="3">
        <v>45636.250300925924</v>
      </c>
      <c r="E3262" s="2" t="s">
        <v>919</v>
      </c>
    </row>
    <row r="3263" spans="1:5" ht="84" x14ac:dyDescent="0.2">
      <c r="A3263" s="2" t="s">
        <v>917</v>
      </c>
      <c r="B3263" s="2" t="str">
        <f>HYPERLINK("https://australiannationalreview.com/lifestyle/rfk-jr-s-food-fight-can-he-change-americas-diet/")</f>
        <v>https://australiannationalreview.com/lifestyle/rfk-jr-s-food-fight-can-he-change-americas-diet/</v>
      </c>
      <c r="C3263" s="2" t="s">
        <v>918</v>
      </c>
      <c r="D3263" s="3">
        <v>45636.269803240742</v>
      </c>
      <c r="E3263" s="2" t="s">
        <v>919</v>
      </c>
    </row>
    <row r="3264" spans="1:5" ht="56" x14ac:dyDescent="0.2">
      <c r="A3264" s="2" t="s">
        <v>122</v>
      </c>
      <c r="B3264" s="2" t="str">
        <f>HYPERLINK("https://937kcountry.com/news/030030-more-beans-and-less-red-meat-nutritionists-weigh-in-on-us-dietary-guidelines/")</f>
        <v>https://937kcountry.com/news/030030-more-beans-and-less-red-meat-nutritionists-weigh-in-on-us-dietary-guidelines/</v>
      </c>
      <c r="C3264" s="2" t="s">
        <v>1110</v>
      </c>
      <c r="D3264" s="3">
        <v>45636.467939814807</v>
      </c>
      <c r="E3264" s="2" t="s">
        <v>38</v>
      </c>
    </row>
    <row r="3265" spans="1:5" ht="42" x14ac:dyDescent="0.2">
      <c r="A3265" s="2" t="s">
        <v>292</v>
      </c>
      <c r="B3265" s="2" t="str">
        <f>HYPERLINK("https://lasvegassun.com/news/2024/dec/10/more-beans-and-less-red-meat-nutrition-experts-wei/")</f>
        <v>https://lasvegassun.com/news/2024/dec/10/more-beans-and-less-red-meat-nutrition-experts-wei/</v>
      </c>
      <c r="C3265" s="2" t="s">
        <v>2601</v>
      </c>
      <c r="D3265" s="3">
        <v>45636.49423611111</v>
      </c>
      <c r="E3265" s="2" t="s">
        <v>38</v>
      </c>
    </row>
    <row r="3266" spans="1:5" ht="42" x14ac:dyDescent="0.2">
      <c r="A3266" s="2" t="s">
        <v>122</v>
      </c>
      <c r="B3266" s="2" t="str">
        <f>HYPERLINK("https://lasvegassun.com/news/2024/dec/10/more-beans-and-less-red-meat-nutritionists-weigh-i/")</f>
        <v>https://lasvegassun.com/news/2024/dec/10/more-beans-and-less-red-meat-nutritionists-weigh-i/</v>
      </c>
      <c r="C3266" s="2" t="s">
        <v>2601</v>
      </c>
      <c r="D3266" s="3">
        <v>45636.49423611111</v>
      </c>
      <c r="E3266" s="2" t="s">
        <v>38</v>
      </c>
    </row>
    <row r="3267" spans="1:5" ht="42" x14ac:dyDescent="0.2">
      <c r="A3267" s="2" t="s">
        <v>3024</v>
      </c>
      <c r="B3267" s="2" t="str">
        <f>HYPERLINK("https://www.statnews.com/2024/12/10/next-dietary-guidelines-plant-based-foods-scientific-report/")</f>
        <v>https://www.statnews.com/2024/12/10/next-dietary-guidelines-plant-based-foods-scientific-report/</v>
      </c>
      <c r="C3267" s="2" t="s">
        <v>3025</v>
      </c>
      <c r="D3267" s="3">
        <v>45636.519409722219</v>
      </c>
      <c r="E3267" s="2" t="s">
        <v>3026</v>
      </c>
    </row>
    <row r="3268" spans="1:5" ht="70" x14ac:dyDescent="0.2">
      <c r="A3268" s="2" t="s">
        <v>292</v>
      </c>
      <c r="B3268" s="2" t="str">
        <f>HYPERLINK("https://www.trumbulltimes.com/living/article/more-beans-and-less-red-meat-nutritionists-weigh-19971789.php")</f>
        <v>https://www.trumbulltimes.com/living/article/more-beans-and-less-red-meat-nutritionists-weigh-19971789.php</v>
      </c>
      <c r="C3268" s="2" t="s">
        <v>1229</v>
      </c>
      <c r="D3268" s="3">
        <v>45636.556319444448</v>
      </c>
      <c r="E3268" s="2" t="s">
        <v>1230</v>
      </c>
    </row>
    <row r="3269" spans="1:5" ht="42" x14ac:dyDescent="0.2">
      <c r="A3269" s="2" t="s">
        <v>122</v>
      </c>
      <c r="B3269" s="2" t="str">
        <f>HYPERLINK("https://isp.netscape.com/news/health/story/0001/20241210/d6a9c6f0554f279497acb5714b3032b9")</f>
        <v>https://isp.netscape.com/news/health/story/0001/20241210/d6a9c6f0554f279497acb5714b3032b9</v>
      </c>
      <c r="C3269" s="2" t="s">
        <v>1410</v>
      </c>
      <c r="D3269" s="3">
        <v>45636.618750000001</v>
      </c>
      <c r="E3269" s="2" t="s">
        <v>38</v>
      </c>
    </row>
    <row r="3270" spans="1:5" ht="56" x14ac:dyDescent="0.2">
      <c r="A3270" s="2" t="s">
        <v>122</v>
      </c>
      <c r="B3270" s="2" t="str">
        <f>HYPERLINK("https://webcenters.netscape.compuserve.com/news/world/story/0001/20241210/d6a9c6f0554f279497acb5714b3032b9")</f>
        <v>https://webcenters.netscape.compuserve.com/news/world/story/0001/20241210/d6a9c6f0554f279497acb5714b3032b9</v>
      </c>
      <c r="C3270" s="2" t="s">
        <v>1752</v>
      </c>
      <c r="D3270" s="3">
        <v>45636.618750000001</v>
      </c>
      <c r="E3270" s="2" t="s">
        <v>38</v>
      </c>
    </row>
    <row r="3271" spans="1:5" ht="70" x14ac:dyDescent="0.2">
      <c r="A3271" s="2" t="s">
        <v>122</v>
      </c>
      <c r="B3271" s="2" t="str">
        <f>HYPERLINK("https://am1460theanswer.com/news/national/more-beans-and-less-red-meat-nutritionists-weigh-in-on-us-dietary-guidelines/d6a9c6f0554f279497acb5714b3032b9")</f>
        <v>https://am1460theanswer.com/news/national/more-beans-and-less-red-meat-nutritionists-weigh-in-on-us-dietary-guidelines/d6a9c6f0554f279497acb5714b3032b9</v>
      </c>
      <c r="C3271" s="2" t="s">
        <v>562</v>
      </c>
      <c r="D3271" s="3">
        <v>45636.61923611111</v>
      </c>
      <c r="E3271" s="2" t="s">
        <v>38</v>
      </c>
    </row>
    <row r="3272" spans="1:5" ht="70" x14ac:dyDescent="0.2">
      <c r="A3272" s="2" t="s">
        <v>122</v>
      </c>
      <c r="B3272" s="2" t="str">
        <f>HYPERLINK("https://860amtheanswer.com/news/national/more-beans-and-less-red-meat-nutritionists-weigh-in-on-us-dietary-guidelines/d6a9c6f0554f279497acb5714b3032b9")</f>
        <v>https://860amtheanswer.com/news/national/more-beans-and-less-red-meat-nutritionists-weigh-in-on-us-dietary-guidelines/d6a9c6f0554f279497acb5714b3032b9</v>
      </c>
      <c r="C3272" s="2" t="s">
        <v>619</v>
      </c>
      <c r="D3272" s="3">
        <v>45636.61923611111</v>
      </c>
      <c r="E3272" s="2" t="s">
        <v>38</v>
      </c>
    </row>
    <row r="3273" spans="1:5" ht="70" x14ac:dyDescent="0.2">
      <c r="A3273" s="2" t="s">
        <v>122</v>
      </c>
      <c r="B3273" s="2" t="str">
        <f>HYPERLINK("https://am920theanswer.com/news/national/more-beans-and-less-red-meat-nutritionists-weigh-in-on-us-dietary-guidelines/d6a9c6f0554f279497acb5714b3032b9")</f>
        <v>https://am920theanswer.com/news/national/more-beans-and-less-red-meat-nutritionists-weigh-in-on-us-dietary-guidelines/d6a9c6f0554f279497acb5714b3032b9</v>
      </c>
      <c r="C3273" s="2" t="s">
        <v>773</v>
      </c>
      <c r="D3273" s="3">
        <v>45636.61923611111</v>
      </c>
      <c r="E3273" s="2" t="s">
        <v>38</v>
      </c>
    </row>
    <row r="3274" spans="1:5" ht="70" x14ac:dyDescent="0.2">
      <c r="A3274" s="2" t="s">
        <v>122</v>
      </c>
      <c r="B3274" s="2" t="str">
        <f>HYPERLINK("https://theanswerorlando.com/news/national/more-beans-and-less-red-meat-nutritionists-weigh-in-on-us-dietary-guidelines/d6a9c6f0554f279497acb5714b3032b9")</f>
        <v>https://theanswerorlando.com/news/national/more-beans-and-less-red-meat-nutritionists-weigh-in-on-us-dietary-guidelines/d6a9c6f0554f279497acb5714b3032b9</v>
      </c>
      <c r="C3274" s="2" t="s">
        <v>707</v>
      </c>
      <c r="D3274" s="3">
        <v>45636.61923611111</v>
      </c>
      <c r="E3274" s="2" t="s">
        <v>38</v>
      </c>
    </row>
    <row r="3275" spans="1:5" ht="70" x14ac:dyDescent="0.2">
      <c r="A3275" s="2" t="s">
        <v>122</v>
      </c>
      <c r="B3275" s="2" t="str">
        <f>HYPERLINK("https://theanswerseattle.com/news/national/more-beans-and-less-red-meat-nutritionists-weigh-in-on-us-dietary-guidelines/d6a9c6f0554f279497acb5714b3032b9")</f>
        <v>https://theanswerseattle.com/news/national/more-beans-and-less-red-meat-nutritionists-weigh-in-on-us-dietary-guidelines/d6a9c6f0554f279497acb5714b3032b9</v>
      </c>
      <c r="C3275" s="2" t="s">
        <v>1135</v>
      </c>
      <c r="D3275" s="3">
        <v>45636.61923611111</v>
      </c>
      <c r="E3275" s="2" t="s">
        <v>38</v>
      </c>
    </row>
    <row r="3276" spans="1:5" ht="70" x14ac:dyDescent="0.2">
      <c r="A3276" s="2" t="s">
        <v>122</v>
      </c>
      <c r="B3276" s="2" t="str">
        <f>HYPERLINK("https://am870theanswer.com/news/national/more-beans-and-less-red-meat-nutritionists-weigh-in-on-us-dietary-guidelines/d6a9c6f0554f279497acb5714b3032b9")</f>
        <v>https://am870theanswer.com/news/national/more-beans-and-less-red-meat-nutritionists-weigh-in-on-us-dietary-guidelines/d6a9c6f0554f279497acb5714b3032b9</v>
      </c>
      <c r="C3276" s="2" t="s">
        <v>1245</v>
      </c>
      <c r="D3276" s="3">
        <v>45636.61923611111</v>
      </c>
      <c r="E3276" s="2" t="s">
        <v>38</v>
      </c>
    </row>
    <row r="3277" spans="1:5" ht="70" x14ac:dyDescent="0.2">
      <c r="A3277" s="2" t="s">
        <v>122</v>
      </c>
      <c r="B3277" s="2" t="str">
        <f>HYPERLINK("https://560theanswer.com/news/national/more-beans-and-less-red-meat-nutritionists-weigh-in-on-us-dietary-guidelines/d6a9c6f0554f279497acb5714b3032b9")</f>
        <v>https://560theanswer.com/news/national/more-beans-and-less-red-meat-nutritionists-weigh-in-on-us-dietary-guidelines/d6a9c6f0554f279497acb5714b3032b9</v>
      </c>
      <c r="C3277" s="2" t="s">
        <v>1398</v>
      </c>
      <c r="D3277" s="3">
        <v>45636.61923611111</v>
      </c>
      <c r="E3277" s="2" t="s">
        <v>38</v>
      </c>
    </row>
    <row r="3278" spans="1:5" ht="56" x14ac:dyDescent="0.2">
      <c r="A3278" s="2" t="s">
        <v>122</v>
      </c>
      <c r="B3278" s="2" t="str">
        <f>HYPERLINK("https://www.durangoherald.com/articles/more-beans-and-less-red-meat-nutritionists-weigh-in-on-us-dietary-guidelines/")</f>
        <v>https://www.durangoherald.com/articles/more-beans-and-less-red-meat-nutritionists-weigh-in-on-us-dietary-guidelines/</v>
      </c>
      <c r="C3278" s="2" t="s">
        <v>2170</v>
      </c>
      <c r="D3278" s="3">
        <v>45636.61923611111</v>
      </c>
      <c r="E3278" s="2" t="s">
        <v>38</v>
      </c>
    </row>
    <row r="3279" spans="1:5" ht="42" x14ac:dyDescent="0.2">
      <c r="A3279" s="2" t="s">
        <v>122</v>
      </c>
      <c r="B3279" s="2" t="str">
        <f>HYPERLINK("https://nz.news.yahoo.com/more-beans-less-red-meat-195142429.html")</f>
        <v>https://nz.news.yahoo.com/more-beans-less-red-meat-195142429.html</v>
      </c>
      <c r="C3279" s="2" t="s">
        <v>2518</v>
      </c>
      <c r="D3279" s="3">
        <v>45636.61923611111</v>
      </c>
      <c r="E3279" s="2" t="s">
        <v>38</v>
      </c>
    </row>
    <row r="3280" spans="1:5" ht="98" x14ac:dyDescent="0.2">
      <c r="A3280" s="2" t="s">
        <v>122</v>
      </c>
      <c r="B3280" s="2" t="str">
        <f>HYPERLINK("https://www.wsls.com/health/2024/12/10/more-beans-and-less-red-meat-nutritionists-weigh-in-on-us-dietary-guidelines/")</f>
        <v>https://www.wsls.com/health/2024/12/10/more-beans-and-less-red-meat-nutritionists-weigh-in-on-us-dietary-guidelines/</v>
      </c>
      <c r="C3280" s="2" t="s">
        <v>2598</v>
      </c>
      <c r="D3280" s="3">
        <v>45636.61923611111</v>
      </c>
      <c r="E3280" s="2" t="s">
        <v>2613</v>
      </c>
    </row>
    <row r="3281" spans="1:5" ht="42" x14ac:dyDescent="0.2">
      <c r="A3281" s="2" t="s">
        <v>292</v>
      </c>
      <c r="B3281" s="2" t="str">
        <f>HYPERLINK("https://kstp.com/world/more-beans-and-less-red-meat-nutrition-experts-weigh-in-on-us-dietary-guidelines/")</f>
        <v>https://kstp.com/world/more-beans-and-less-red-meat-nutrition-experts-weigh-in-on-us-dietary-guidelines/</v>
      </c>
      <c r="C3281" s="2" t="s">
        <v>2840</v>
      </c>
      <c r="D3281" s="3">
        <v>45636.61923611111</v>
      </c>
      <c r="E3281" s="2" t="s">
        <v>38</v>
      </c>
    </row>
    <row r="3282" spans="1:5" ht="42" x14ac:dyDescent="0.2">
      <c r="A3282" s="2" t="s">
        <v>122</v>
      </c>
      <c r="B3282" s="2" t="str">
        <f>HYPERLINK("https://autos.yahoo.com/news/more-beans-less-red-meat-195142429.html")</f>
        <v>https://autos.yahoo.com/news/more-beans-less-red-meat-195142429.html</v>
      </c>
      <c r="C3282" s="2" t="s">
        <v>2873</v>
      </c>
      <c r="D3282" s="3">
        <v>45636.61923611111</v>
      </c>
      <c r="E3282" s="2" t="s">
        <v>38</v>
      </c>
    </row>
    <row r="3283" spans="1:5" ht="56" x14ac:dyDescent="0.2">
      <c r="A3283" s="2" t="s">
        <v>122</v>
      </c>
      <c r="B3283" s="2" t="str">
        <f>HYPERLINK("https://www.ksat.com/health/2024/12/10/more-beans-and-less-red-meat-nutritionists-weigh-in-on-us-dietary-guidelines/")</f>
        <v>https://www.ksat.com/health/2024/12/10/more-beans-and-less-red-meat-nutritionists-weigh-in-on-us-dietary-guidelines/</v>
      </c>
      <c r="C3283" s="2" t="s">
        <v>3020</v>
      </c>
      <c r="D3283" s="3">
        <v>45636.61923611111</v>
      </c>
      <c r="E3283" s="2" t="s">
        <v>38</v>
      </c>
    </row>
    <row r="3284" spans="1:5" ht="98" x14ac:dyDescent="0.2">
      <c r="A3284" s="2" t="s">
        <v>122</v>
      </c>
      <c r="B3284" s="2" t="str">
        <f>HYPERLINK("https://www.local10.com/health/2024/12/10/more-beans-and-less-red-meat-nutritionists-weigh-in-on-us-dietary-guidelines/")</f>
        <v>https://www.local10.com/health/2024/12/10/more-beans-and-less-red-meat-nutritionists-weigh-in-on-us-dietary-guidelines/</v>
      </c>
      <c r="C3284" s="2" t="s">
        <v>2995</v>
      </c>
      <c r="D3284" s="3">
        <v>45636.61923611111</v>
      </c>
      <c r="E3284" s="2" t="s">
        <v>2613</v>
      </c>
    </row>
    <row r="3285" spans="1:5" ht="56" x14ac:dyDescent="0.2">
      <c r="A3285" s="2" t="s">
        <v>122</v>
      </c>
      <c r="B3285" s="2" t="str">
        <f>HYPERLINK("https://www.news4jax.com/health/2024/12/10/more-beans-and-less-red-meat-nutritionists-weigh-in-on-us-dietary-guidelines/")</f>
        <v>https://www.news4jax.com/health/2024/12/10/more-beans-and-less-red-meat-nutritionists-weigh-in-on-us-dietary-guidelines/</v>
      </c>
      <c r="C3285" s="2" t="s">
        <v>2994</v>
      </c>
      <c r="D3285" s="3">
        <v>45636.61923611111</v>
      </c>
      <c r="E3285" s="2" t="s">
        <v>38</v>
      </c>
    </row>
    <row r="3286" spans="1:5" ht="154" x14ac:dyDescent="0.2">
      <c r="A3286" s="2" t="s">
        <v>122</v>
      </c>
      <c r="B3286" s="2" t="str">
        <f>HYPERLINK("https://www.clickondetroit.com/health/2024/12/10/more-beans-and-less-red-meat-nutritionists-weigh-in-on-us-dietary-guidelines/")</f>
        <v>https://www.clickondetroit.com/health/2024/12/10/more-beans-and-less-red-meat-nutritionists-weigh-in-on-us-dietary-guidelines/</v>
      </c>
      <c r="C3286" s="2" t="s">
        <v>3067</v>
      </c>
      <c r="D3286" s="3">
        <v>45636.61923611111</v>
      </c>
      <c r="E3286" s="2" t="s">
        <v>3094</v>
      </c>
    </row>
    <row r="3287" spans="1:5" ht="56" x14ac:dyDescent="0.2">
      <c r="A3287" s="2" t="s">
        <v>122</v>
      </c>
      <c r="B3287" s="2" t="str">
        <f>HYPERLINK("https://www.click2houston.com/health/2024/12/10/more-beans-and-less-red-meat-nutritionists-weigh-in-on-us-dietary-guidelines/")</f>
        <v>https://www.click2houston.com/health/2024/12/10/more-beans-and-less-red-meat-nutritionists-weigh-in-on-us-dietary-guidelines/</v>
      </c>
      <c r="C3287" s="2" t="s">
        <v>3108</v>
      </c>
      <c r="D3287" s="3">
        <v>45636.61923611111</v>
      </c>
      <c r="E3287" s="2" t="s">
        <v>38</v>
      </c>
    </row>
    <row r="3288" spans="1:5" ht="56" x14ac:dyDescent="0.2">
      <c r="A3288" s="2" t="s">
        <v>963</v>
      </c>
      <c r="B3288" s="2" t="str">
        <f>HYPERLINK("https://www.clickorlando.com/health/2024/12/10/more-beans-and-less-red-meat-nutritionists-weigh-in-on-us-dietary-guidelines/")</f>
        <v>https://www.clickorlando.com/health/2024/12/10/more-beans-and-less-red-meat-nutritionists-weigh-in-on-us-dietary-guidelines/</v>
      </c>
      <c r="C3288" s="2" t="s">
        <v>3113</v>
      </c>
      <c r="D3288" s="3">
        <v>45636.61923611111</v>
      </c>
      <c r="E3288" s="2" t="s">
        <v>38</v>
      </c>
    </row>
    <row r="3289" spans="1:5" ht="42" x14ac:dyDescent="0.2">
      <c r="A3289" s="2" t="s">
        <v>963</v>
      </c>
      <c r="B3289" s="2" t="str">
        <f>HYPERLINK("https://uk.news.yahoo.com/more-beans-less-red-meat-195142429.html")</f>
        <v>https://uk.news.yahoo.com/more-beans-less-red-meat-195142429.html</v>
      </c>
      <c r="C3289" s="2" t="s">
        <v>3264</v>
      </c>
      <c r="D3289" s="3">
        <v>45636.61923611111</v>
      </c>
      <c r="E3289" s="2" t="s">
        <v>38</v>
      </c>
    </row>
    <row r="3290" spans="1:5" ht="42" x14ac:dyDescent="0.2">
      <c r="A3290" s="2" t="s">
        <v>963</v>
      </c>
      <c r="B3290" s="2" t="str">
        <f>HYPERLINK("https://www.aol.com/news/more-beans-less-red-meat-195142429.html")</f>
        <v>https://www.aol.com/news/more-beans-less-red-meat-195142429.html</v>
      </c>
      <c r="C3290" s="2" t="s">
        <v>3592</v>
      </c>
      <c r="D3290" s="3">
        <v>45636.61923611111</v>
      </c>
      <c r="E3290" s="2" t="s">
        <v>38</v>
      </c>
    </row>
    <row r="3291" spans="1:5" ht="42" x14ac:dyDescent="0.2">
      <c r="A3291" s="2" t="s">
        <v>122</v>
      </c>
      <c r="B3291" s="2" t="str">
        <f>HYPERLINK("https://www.yahoo.com/news/more-beans-less-red-meat-195142429.html")</f>
        <v>https://www.yahoo.com/news/more-beans-less-red-meat-195142429.html</v>
      </c>
      <c r="C3291" s="2" t="s">
        <v>3728</v>
      </c>
      <c r="D3291" s="3">
        <v>45636.61923611111</v>
      </c>
      <c r="E3291" s="2" t="s">
        <v>38</v>
      </c>
    </row>
    <row r="3292" spans="1:5" ht="70" x14ac:dyDescent="0.2">
      <c r="A3292" s="2" t="s">
        <v>122</v>
      </c>
      <c r="B3292" s="2" t="str">
        <f>HYPERLINK("https://www.ncadvertiser.com/living/article/more-beans-and-less-red-meat-nutritionists-weigh-19971789.php")</f>
        <v>https://www.ncadvertiser.com/living/article/more-beans-and-less-red-meat-nutritionists-weigh-19971789.php</v>
      </c>
      <c r="C3292" s="2" t="s">
        <v>1332</v>
      </c>
      <c r="D3292" s="3">
        <v>45636.619247685187</v>
      </c>
      <c r="E3292" s="2" t="s">
        <v>1230</v>
      </c>
    </row>
    <row r="3293" spans="1:5" ht="70" x14ac:dyDescent="0.2">
      <c r="A3293" s="2" t="s">
        <v>122</v>
      </c>
      <c r="B3293" s="2" t="str">
        <f>HYPERLINK("https://www.sheltonherald.com/living/article/more-beans-and-less-red-meat-nutritionists-weigh-19971789.php")</f>
        <v>https://www.sheltonherald.com/living/article/more-beans-and-less-red-meat-nutritionists-weigh-19971789.php</v>
      </c>
      <c r="C3293" s="2" t="s">
        <v>1415</v>
      </c>
      <c r="D3293" s="3">
        <v>45636.619247685187</v>
      </c>
      <c r="E3293" s="2" t="s">
        <v>1230</v>
      </c>
    </row>
    <row r="3294" spans="1:5" ht="70" x14ac:dyDescent="0.2">
      <c r="A3294" s="2" t="s">
        <v>122</v>
      </c>
      <c r="B3294" s="2" t="str">
        <f>HYPERLINK("https://www.darientimes.com/living/article/more-beans-and-less-red-meat-nutritionists-weigh-19971789.php")</f>
        <v>https://www.darientimes.com/living/article/more-beans-and-less-red-meat-nutritionists-weigh-19971789.php</v>
      </c>
      <c r="C3294" s="2" t="s">
        <v>1463</v>
      </c>
      <c r="D3294" s="3">
        <v>45636.619247685187</v>
      </c>
      <c r="E3294" s="2" t="s">
        <v>1230</v>
      </c>
    </row>
    <row r="3295" spans="1:5" ht="56" x14ac:dyDescent="0.2">
      <c r="A3295" s="2" t="s">
        <v>122</v>
      </c>
      <c r="B3295" s="2" t="str">
        <f>HYPERLINK("https://www.myarklamiss.com/news/lifestyles/healthminute/ap-more-beans-and-less-red-meat-nutritionists-weigh-in-on-us-dietary-guidelines/")</f>
        <v>https://www.myarklamiss.com/news/lifestyles/healthminute/ap-more-beans-and-less-red-meat-nutritionists-weigh-in-on-us-dietary-guidelines/</v>
      </c>
      <c r="C3295" s="2" t="s">
        <v>1615</v>
      </c>
      <c r="D3295" s="3">
        <v>45636.619247685187</v>
      </c>
      <c r="E3295" s="2" t="s">
        <v>38</v>
      </c>
    </row>
    <row r="3296" spans="1:5" ht="56" x14ac:dyDescent="0.2">
      <c r="A3296" s="2" t="s">
        <v>122</v>
      </c>
      <c r="B3296" s="2" t="str">
        <f>HYPERLINK("https://phl17.com/health/ap-health/ap-more-beans-and-less-red-meat-nutritionists-weigh-in-on-us-dietary-guidelines/")</f>
        <v>https://phl17.com/health/ap-health/ap-more-beans-and-less-red-meat-nutritionists-weigh-in-on-us-dietary-guidelines/</v>
      </c>
      <c r="C3296" s="2" t="s">
        <v>1695</v>
      </c>
      <c r="D3296" s="3">
        <v>45636.619247685187</v>
      </c>
      <c r="E3296" s="2" t="s">
        <v>38</v>
      </c>
    </row>
    <row r="3297" spans="1:5" ht="70" x14ac:dyDescent="0.2">
      <c r="A3297" s="2" t="s">
        <v>122</v>
      </c>
      <c r="B3297" s="2" t="str">
        <f>HYPERLINK("https://www.yourconroenews.com/living/article/more-beans-and-less-red-meat-nutritionists-weigh-19971789.php")</f>
        <v>https://www.yourconroenews.com/living/article/more-beans-and-less-red-meat-nutritionists-weigh-19971789.php</v>
      </c>
      <c r="C3297" s="2" t="s">
        <v>1702</v>
      </c>
      <c r="D3297" s="3">
        <v>45636.619247685187</v>
      </c>
      <c r="E3297" s="2" t="s">
        <v>1230</v>
      </c>
    </row>
    <row r="3298" spans="1:5" ht="56" x14ac:dyDescent="0.2">
      <c r="A3298" s="2" t="s">
        <v>122</v>
      </c>
      <c r="B3298" s="2" t="str">
        <f>HYPERLINK("https://www.informnny.com/news/health-news/ap-more-beans-and-less-red-meat-nutritionists-weigh-in-on-us-dietary-guidelines/")</f>
        <v>https://www.informnny.com/news/health-news/ap-more-beans-and-less-red-meat-nutritionists-weigh-in-on-us-dietary-guidelines/</v>
      </c>
      <c r="C3298" s="2" t="s">
        <v>1660</v>
      </c>
      <c r="D3298" s="3">
        <v>45636.619247685187</v>
      </c>
      <c r="E3298" s="2" t="s">
        <v>38</v>
      </c>
    </row>
    <row r="3299" spans="1:5" ht="70" x14ac:dyDescent="0.2">
      <c r="A3299" s="2" t="s">
        <v>122</v>
      </c>
      <c r="B3299" s="2" t="str">
        <f>HYPERLINK("https://www.manisteenews.com/living/article/more-beans-and-less-red-meat-nutritionists-weigh-19971789.php")</f>
        <v>https://www.manisteenews.com/living/article/more-beans-and-less-red-meat-nutritionists-weigh-19971789.php</v>
      </c>
      <c r="C3299" s="2" t="s">
        <v>1776</v>
      </c>
      <c r="D3299" s="3">
        <v>45636.619247685187</v>
      </c>
      <c r="E3299" s="2" t="s">
        <v>1230</v>
      </c>
    </row>
    <row r="3300" spans="1:5" ht="70" x14ac:dyDescent="0.2">
      <c r="A3300" s="2" t="s">
        <v>122</v>
      </c>
      <c r="B3300" s="2" t="str">
        <f>HYPERLINK("https://www.bigrapidsnews.com/living/article/more-beans-and-less-red-meat-nutritionists-weigh-19971789.php")</f>
        <v>https://www.bigrapidsnews.com/living/article/more-beans-and-less-red-meat-nutritionists-weigh-19971789.php</v>
      </c>
      <c r="C3300" s="2" t="s">
        <v>1771</v>
      </c>
      <c r="D3300" s="3">
        <v>45636.619247685187</v>
      </c>
      <c r="E3300" s="2" t="s">
        <v>1230</v>
      </c>
    </row>
    <row r="3301" spans="1:5" ht="56" x14ac:dyDescent="0.2">
      <c r="A3301" s="2" t="s">
        <v>122</v>
      </c>
      <c r="B3301" s="2" t="str">
        <f>HYPERLINK("https://www.fox44news.com/news/ap-more-beans-and-less-red-meat-nutritionists-weigh-in-on-us-dietary-guidelines/")</f>
        <v>https://www.fox44news.com/news/ap-more-beans-and-less-red-meat-nutritionists-weigh-in-on-us-dietary-guidelines/</v>
      </c>
      <c r="C3301" s="2" t="s">
        <v>2003</v>
      </c>
      <c r="D3301" s="3">
        <v>45636.619247685187</v>
      </c>
      <c r="E3301" s="2" t="s">
        <v>38</v>
      </c>
    </row>
    <row r="3302" spans="1:5" ht="56" x14ac:dyDescent="0.2">
      <c r="A3302" s="2" t="s">
        <v>122</v>
      </c>
      <c r="B3302" s="2" t="str">
        <f>HYPERLINK("https://www.siouxlandproud.com/news/health/ap-more-beans-and-less-red-meat-nutritionists-weigh-in-on-us-dietary-guidelines/")</f>
        <v>https://www.siouxlandproud.com/news/health/ap-more-beans-and-less-red-meat-nutritionists-weigh-in-on-us-dietary-guidelines/</v>
      </c>
      <c r="C3302" s="2" t="s">
        <v>2005</v>
      </c>
      <c r="D3302" s="3">
        <v>45636.619247685187</v>
      </c>
      <c r="E3302" s="2" t="s">
        <v>38</v>
      </c>
    </row>
    <row r="3303" spans="1:5" ht="56" x14ac:dyDescent="0.2">
      <c r="A3303" s="2" t="s">
        <v>122</v>
      </c>
      <c r="B3303" s="2" t="str">
        <f>HYPERLINK("https://www.myhighplains.com/news/for-your-health/ap-more-beans-and-less-red-meat-nutritionists-weigh-in-on-us-dietary-guidelines/")</f>
        <v>https://www.myhighplains.com/news/for-your-health/ap-more-beans-and-less-red-meat-nutritionists-weigh-in-on-us-dietary-guidelines/</v>
      </c>
      <c r="C3303" s="2" t="s">
        <v>2110</v>
      </c>
      <c r="D3303" s="3">
        <v>45636.619247685187</v>
      </c>
      <c r="E3303" s="2" t="s">
        <v>38</v>
      </c>
    </row>
    <row r="3304" spans="1:5" ht="56" x14ac:dyDescent="0.2">
      <c r="A3304" s="2" t="s">
        <v>2169</v>
      </c>
      <c r="B3304" s="2" t="str">
        <f>HYPERLINK("https://localnews8.com/news/national-world/ap-national/2024/12/10/more-beans-and-less-red-meat-nutritionists-weigh-in-on-us-dietary-guidelines/")</f>
        <v>https://localnews8.com/news/national-world/ap-national/2024/12/10/more-beans-and-less-red-meat-nutritionists-weigh-in-on-us-dietary-guidelines/</v>
      </c>
      <c r="C3304" s="2" t="s">
        <v>2164</v>
      </c>
      <c r="D3304" s="3">
        <v>45636.619247685187</v>
      </c>
      <c r="E3304" s="2" t="s">
        <v>38</v>
      </c>
    </row>
    <row r="3305" spans="1:5" ht="56" x14ac:dyDescent="0.2">
      <c r="A3305" s="2" t="s">
        <v>122</v>
      </c>
      <c r="B3305" s="2" t="str">
        <f>HYPERLINK("https://www.bigcountryhomepage.com/news/health-news/ap-more-beans-and-less-red-meat-nutritionists-weigh-in-on-us-dietary-guidelines/")</f>
        <v>https://www.bigcountryhomepage.com/news/health-news/ap-more-beans-and-less-red-meat-nutritionists-weigh-in-on-us-dietary-guidelines/</v>
      </c>
      <c r="C3305" s="2" t="s">
        <v>2239</v>
      </c>
      <c r="D3305" s="3">
        <v>45636.619247685187</v>
      </c>
      <c r="E3305" s="2" t="s">
        <v>38</v>
      </c>
    </row>
    <row r="3306" spans="1:5" ht="56" x14ac:dyDescent="0.2">
      <c r="A3306" s="2" t="s">
        <v>122</v>
      </c>
      <c r="B3306" s="2" t="str">
        <f>HYPERLINK("https://www.wdhn.com/life-health/health/ap-more-beans-and-less-red-meat-nutritionists-weigh-in-on-us-dietary-guidelines/")</f>
        <v>https://www.wdhn.com/life-health/health/ap-more-beans-and-less-red-meat-nutritionists-weigh-in-on-us-dietary-guidelines/</v>
      </c>
      <c r="C3306" s="2" t="s">
        <v>2275</v>
      </c>
      <c r="D3306" s="3">
        <v>45636.619247685187</v>
      </c>
      <c r="E3306" s="2" t="s">
        <v>38</v>
      </c>
    </row>
    <row r="3307" spans="1:5" ht="56" x14ac:dyDescent="0.2">
      <c r="A3307" s="2" t="s">
        <v>122</v>
      </c>
      <c r="B3307" s="2" t="str">
        <f>HYPERLINK("https://www.wnct.com/on-your-side/health-watch/ap-more-beans-and-less-red-meat-nutritionists-weigh-in-on-us-dietary-guidelines/")</f>
        <v>https://www.wnct.com/on-your-side/health-watch/ap-more-beans-and-less-red-meat-nutritionists-weigh-in-on-us-dietary-guidelines/</v>
      </c>
      <c r="C3307" s="2" t="s">
        <v>2378</v>
      </c>
      <c r="D3307" s="3">
        <v>45636.619247685187</v>
      </c>
      <c r="E3307" s="2" t="s">
        <v>38</v>
      </c>
    </row>
    <row r="3308" spans="1:5" ht="56" x14ac:dyDescent="0.2">
      <c r="A3308" s="2" t="s">
        <v>122</v>
      </c>
      <c r="B3308" s="2" t="str">
        <f>HYPERLINK("https://who13.com/health/ap-health/ap-more-beans-and-less-red-meat-nutritionists-weigh-in-on-us-dietary-guidelines/")</f>
        <v>https://who13.com/health/ap-health/ap-more-beans-and-less-red-meat-nutritionists-weigh-in-on-us-dietary-guidelines/</v>
      </c>
      <c r="C3308" s="2" t="s">
        <v>2409</v>
      </c>
      <c r="D3308" s="3">
        <v>45636.619247685187</v>
      </c>
      <c r="E3308" s="2" t="s">
        <v>38</v>
      </c>
    </row>
    <row r="3309" spans="1:5" ht="56" x14ac:dyDescent="0.2">
      <c r="A3309" s="2" t="s">
        <v>122</v>
      </c>
      <c r="B3309" s="2" t="str">
        <f>HYPERLINK("https://www.wowktv.com/news/u-s-world/ap-more-beans-and-less-red-meat-nutritionists-weigh-in-on-us-dietary-guidelines/")</f>
        <v>https://www.wowktv.com/news/u-s-world/ap-more-beans-and-less-red-meat-nutritionists-weigh-in-on-us-dietary-guidelines/</v>
      </c>
      <c r="C3309" s="2" t="s">
        <v>2459</v>
      </c>
      <c r="D3309" s="3">
        <v>45636.619247685187</v>
      </c>
      <c r="E3309" s="2" t="s">
        <v>38</v>
      </c>
    </row>
    <row r="3310" spans="1:5" ht="56" x14ac:dyDescent="0.2">
      <c r="A3310" s="2" t="s">
        <v>122</v>
      </c>
      <c r="B3310" s="2" t="str">
        <f>HYPERLINK("https://www.wlns.com/news/ap-health/ap-more-beans-and-less-red-meat-nutritionists-weigh-in-on-us-dietary-guidelines/")</f>
        <v>https://www.wlns.com/news/ap-health/ap-more-beans-and-less-red-meat-nutritionists-weigh-in-on-us-dietary-guidelines/</v>
      </c>
      <c r="C3310" s="2" t="s">
        <v>2511</v>
      </c>
      <c r="D3310" s="3">
        <v>45636.619247685187</v>
      </c>
      <c r="E3310" s="2" t="s">
        <v>38</v>
      </c>
    </row>
    <row r="3311" spans="1:5" ht="56" x14ac:dyDescent="0.2">
      <c r="A3311" s="2" t="s">
        <v>122</v>
      </c>
      <c r="B3311" s="2" t="str">
        <f>HYPERLINK("https://www.everythinglubbock.com/news/health/ap-more-beans-and-less-red-meat-nutritionists-weigh-in-on-us-dietary-guidelines/")</f>
        <v>https://www.everythinglubbock.com/news/health/ap-more-beans-and-less-red-meat-nutritionists-weigh-in-on-us-dietary-guidelines/</v>
      </c>
      <c r="C3311" s="2" t="s">
        <v>2270</v>
      </c>
      <c r="D3311" s="3">
        <v>45636.619247685187</v>
      </c>
      <c r="E3311" s="2" t="s">
        <v>38</v>
      </c>
    </row>
    <row r="3312" spans="1:5" ht="56" x14ac:dyDescent="0.2">
      <c r="A3312" s="2" t="s">
        <v>122</v>
      </c>
      <c r="B3312" s="2" t="str">
        <f>HYPERLINK("https://www.wjtv.com/living-local/focused-on-health/ap-more-beans-and-less-red-meat-nutritionists-weigh-in-on-us-dietary-guidelines/")</f>
        <v>https://www.wjtv.com/living-local/focused-on-health/ap-more-beans-and-less-red-meat-nutritionists-weigh-in-on-us-dietary-guidelines/</v>
      </c>
      <c r="C3312" s="2" t="s">
        <v>2492</v>
      </c>
      <c r="D3312" s="3">
        <v>45636.619247685187</v>
      </c>
      <c r="E3312" s="2" t="s">
        <v>38</v>
      </c>
    </row>
    <row r="3313" spans="1:5" ht="56" x14ac:dyDescent="0.2">
      <c r="A3313" s="2" t="s">
        <v>122</v>
      </c>
      <c r="B3313" s="2" t="str">
        <f>HYPERLINK("https://www.localsyr.com/health/ap-more-beans-and-less-red-meat-nutritionists-weigh-in-on-us-dietary-guidelines/")</f>
        <v>https://www.localsyr.com/health/ap-more-beans-and-less-red-meat-nutritionists-weigh-in-on-us-dietary-guidelines/</v>
      </c>
      <c r="C3313" s="2" t="s">
        <v>2559</v>
      </c>
      <c r="D3313" s="3">
        <v>45636.619247685187</v>
      </c>
      <c r="E3313" s="2" t="s">
        <v>38</v>
      </c>
    </row>
    <row r="3314" spans="1:5" ht="56" x14ac:dyDescent="0.2">
      <c r="A3314" s="2" t="s">
        <v>122</v>
      </c>
      <c r="B3314" s="2" t="str">
        <f>HYPERLINK("https://www.wboy.com/news/health/ap-more-beans-and-less-red-meat-nutritionists-weigh-in-on-us-dietary-guidelines/")</f>
        <v>https://www.wboy.com/news/health/ap-more-beans-and-less-red-meat-nutritionists-weigh-in-on-us-dietary-guidelines/</v>
      </c>
      <c r="C3314" s="2" t="s">
        <v>2599</v>
      </c>
      <c r="D3314" s="3">
        <v>45636.619247685187</v>
      </c>
      <c r="E3314" s="2" t="s">
        <v>38</v>
      </c>
    </row>
    <row r="3315" spans="1:5" ht="56" x14ac:dyDescent="0.2">
      <c r="A3315" s="2" t="s">
        <v>122</v>
      </c>
      <c r="B3315" s="2" t="str">
        <f>HYPERLINK("https://www.wdtn.com/news/ap-health/ap-more-beans-and-less-red-meat-nutritionists-weigh-in-on-us-dietary-guidelines/")</f>
        <v>https://www.wdtn.com/news/ap-health/ap-more-beans-and-less-red-meat-nutritionists-weigh-in-on-us-dietary-guidelines/</v>
      </c>
      <c r="C3315" s="2" t="s">
        <v>2600</v>
      </c>
      <c r="D3315" s="3">
        <v>45636.619247685187</v>
      </c>
      <c r="E3315" s="2" t="s">
        <v>38</v>
      </c>
    </row>
    <row r="3316" spans="1:5" ht="42" x14ac:dyDescent="0.2">
      <c r="A3316" s="2" t="s">
        <v>122</v>
      </c>
      <c r="B3316" s="2" t="str">
        <f>HYPERLINK("https://www.kget.com/health/ap-more-beans-and-less-red-meat-nutritionists-weigh-in-on-us-dietary-guidelines/")</f>
        <v>https://www.kget.com/health/ap-more-beans-and-less-red-meat-nutritionists-weigh-in-on-us-dietary-guidelines/</v>
      </c>
      <c r="C3316" s="2" t="s">
        <v>2605</v>
      </c>
      <c r="D3316" s="3">
        <v>45636.619247685187</v>
      </c>
      <c r="E3316" s="2" t="s">
        <v>38</v>
      </c>
    </row>
    <row r="3317" spans="1:5" ht="42" x14ac:dyDescent="0.2">
      <c r="A3317" s="2" t="s">
        <v>122</v>
      </c>
      <c r="B3317" s="2" t="str">
        <f>HYPERLINK("https://www.wivb.com/health/ap-more-beans-and-less-red-meat-nutritionists-weigh-in-on-us-dietary-guidelines/")</f>
        <v>https://www.wivb.com/health/ap-more-beans-and-less-red-meat-nutritionists-weigh-in-on-us-dietary-guidelines/</v>
      </c>
      <c r="C3317" s="2" t="s">
        <v>2625</v>
      </c>
      <c r="D3317" s="3">
        <v>45636.619247685187</v>
      </c>
      <c r="E3317" s="2" t="s">
        <v>38</v>
      </c>
    </row>
    <row r="3318" spans="1:5" ht="42" x14ac:dyDescent="0.2">
      <c r="A3318" s="2" t="s">
        <v>122</v>
      </c>
      <c r="B3318" s="2" t="str">
        <f>HYPERLINK("https://www.inkl.com/news/more-beans-and-less-red-meat-nutritionists-weigh-in-on-us-dietary-guidelines")</f>
        <v>https://www.inkl.com/news/more-beans-and-less-red-meat-nutritionists-weigh-in-on-us-dietary-guidelines</v>
      </c>
      <c r="C3318" s="2" t="s">
        <v>2569</v>
      </c>
      <c r="D3318" s="3">
        <v>45636.619247685187</v>
      </c>
      <c r="E3318" s="2" t="s">
        <v>38</v>
      </c>
    </row>
    <row r="3319" spans="1:5" ht="56" x14ac:dyDescent="0.2">
      <c r="A3319" s="2" t="s">
        <v>122</v>
      </c>
      <c r="B3319" s="2" t="str">
        <f>HYPERLINK("https://www.rochesterfirst.com/news/health/ap-more-beans-and-less-red-meat-nutritionists-weigh-in-on-us-dietary-guidelines/")</f>
        <v>https://www.rochesterfirst.com/news/health/ap-more-beans-and-less-red-meat-nutritionists-weigh-in-on-us-dietary-guidelines/</v>
      </c>
      <c r="C3319" s="2" t="s">
        <v>2631</v>
      </c>
      <c r="D3319" s="3">
        <v>45636.619247685187</v>
      </c>
      <c r="E3319" s="2" t="s">
        <v>38</v>
      </c>
    </row>
    <row r="3320" spans="1:5" ht="56" x14ac:dyDescent="0.2">
      <c r="A3320" s="2" t="s">
        <v>122</v>
      </c>
      <c r="B3320" s="2" t="str">
        <f>HYPERLINK("https://www.wsav.com/news/ap-health/ap-more-beans-and-less-red-meat-nutritionists-weigh-in-on-us-dietary-guidelines/")</f>
        <v>https://www.wsav.com/news/ap-health/ap-more-beans-and-less-red-meat-nutritionists-weigh-in-on-us-dietary-guidelines/</v>
      </c>
      <c r="C3320" s="2" t="s">
        <v>2560</v>
      </c>
      <c r="D3320" s="3">
        <v>45636.619247685187</v>
      </c>
      <c r="E3320" s="2" t="s">
        <v>38</v>
      </c>
    </row>
    <row r="3321" spans="1:5" ht="42" x14ac:dyDescent="0.2">
      <c r="A3321" s="2" t="s">
        <v>122</v>
      </c>
      <c r="B3321" s="2" t="str">
        <f>HYPERLINK("https://www.krqe.com/health/ap-more-beans-and-less-red-meat-nutritionists-weigh-in-on-us-dietary-guidelines/")</f>
        <v>https://www.krqe.com/health/ap-more-beans-and-less-red-meat-nutritionists-weigh-in-on-us-dietary-guidelines/</v>
      </c>
      <c r="C3321" s="2" t="s">
        <v>2785</v>
      </c>
      <c r="D3321" s="3">
        <v>45636.619247685187</v>
      </c>
      <c r="E3321" s="2" t="s">
        <v>38</v>
      </c>
    </row>
    <row r="3322" spans="1:5" ht="70" x14ac:dyDescent="0.2">
      <c r="A3322" s="2" t="s">
        <v>122</v>
      </c>
      <c r="B3322" s="2" t="str">
        <f>HYPERLINK("https://www.the-independent.com/news/world/americas/americans-ap-nestle-american-health-and-human-services-department-b2662162.html")</f>
        <v>https://www.the-independent.com/news/world/americas/americans-ap-nestle-american-health-and-human-services-department-b2662162.html</v>
      </c>
      <c r="C3322" s="2" t="s">
        <v>2791</v>
      </c>
      <c r="D3322" s="3">
        <v>45636.619247685187</v>
      </c>
      <c r="E3322" s="2" t="s">
        <v>38</v>
      </c>
    </row>
    <row r="3323" spans="1:5" ht="56" x14ac:dyDescent="0.2">
      <c r="A3323" s="2" t="s">
        <v>122</v>
      </c>
      <c r="B3323" s="2" t="str">
        <f>HYPERLINK("https://www.wtnh.com/news/health/ap-more-beans-and-less-red-meat-nutritionists-weigh-in-on-us-dietary-guidelines/")</f>
        <v>https://www.wtnh.com/news/health/ap-more-beans-and-less-red-meat-nutritionists-weigh-in-on-us-dietary-guidelines/</v>
      </c>
      <c r="C3323" s="2" t="s">
        <v>2859</v>
      </c>
      <c r="D3323" s="3">
        <v>45636.619247685187</v>
      </c>
      <c r="E3323" s="2" t="s">
        <v>38</v>
      </c>
    </row>
    <row r="3324" spans="1:5" ht="42" x14ac:dyDescent="0.2">
      <c r="A3324" s="2" t="s">
        <v>122</v>
      </c>
      <c r="B3324" s="2" t="str">
        <f>HYPERLINK("https://www.wric.com/health/ap-more-beans-and-less-red-meat-nutritionists-weigh-in-on-us-dietary-guidelines/")</f>
        <v>https://www.wric.com/health/ap-more-beans-and-less-red-meat-nutritionists-weigh-in-on-us-dietary-guidelines/</v>
      </c>
      <c r="C3324" s="2" t="s">
        <v>2865</v>
      </c>
      <c r="D3324" s="3">
        <v>45636.619247685187</v>
      </c>
      <c r="E3324" s="2" t="s">
        <v>38</v>
      </c>
    </row>
    <row r="3325" spans="1:5" ht="56" x14ac:dyDescent="0.2">
      <c r="A3325" s="2" t="s">
        <v>122</v>
      </c>
      <c r="B3325" s="2" t="str">
        <f>HYPERLINK("https://www.cbs17.com/community/health/ap-health/ap-more-beans-and-less-red-meat-nutritionists-weigh-in-on-us-dietary-guidelines/")</f>
        <v>https://www.cbs17.com/community/health/ap-health/ap-more-beans-and-less-red-meat-nutritionists-weigh-in-on-us-dietary-guidelines/</v>
      </c>
      <c r="C3325" s="2" t="s">
        <v>2930</v>
      </c>
      <c r="D3325" s="3">
        <v>45636.619247685187</v>
      </c>
      <c r="E3325" s="2" t="s">
        <v>38</v>
      </c>
    </row>
    <row r="3326" spans="1:5" ht="56" x14ac:dyDescent="0.2">
      <c r="A3326" s="2" t="s">
        <v>122</v>
      </c>
      <c r="B3326" s="2" t="str">
        <f>HYPERLINK("https://www.koin.com/news/health/ap-health/ap-more-beans-and-less-red-meat-nutritionists-weigh-in-on-us-dietary-guidelines/")</f>
        <v>https://www.koin.com/news/health/ap-health/ap-more-beans-and-less-red-meat-nutritionists-weigh-in-on-us-dietary-guidelines/</v>
      </c>
      <c r="C3326" s="2" t="s">
        <v>3015</v>
      </c>
      <c r="D3326" s="3">
        <v>45636.619247685187</v>
      </c>
      <c r="E3326" s="2" t="s">
        <v>38</v>
      </c>
    </row>
    <row r="3327" spans="1:5" ht="70" x14ac:dyDescent="0.2">
      <c r="A3327" s="2" t="s">
        <v>122</v>
      </c>
      <c r="B3327" s="2" t="str">
        <f>HYPERLINK("https://www.ctinsider.com/living/article/more-beans-and-less-red-meat-nutritionists-weigh-19971789.php")</f>
        <v>https://www.ctinsider.com/living/article/more-beans-and-less-red-meat-nutritionists-weigh-19971789.php</v>
      </c>
      <c r="C3327" s="2" t="s">
        <v>2986</v>
      </c>
      <c r="D3327" s="3">
        <v>45636.619247685187</v>
      </c>
      <c r="E3327" s="2" t="s">
        <v>1230</v>
      </c>
    </row>
    <row r="3328" spans="1:5" ht="42" x14ac:dyDescent="0.2">
      <c r="A3328" s="2" t="s">
        <v>122</v>
      </c>
      <c r="B3328" s="2" t="str">
        <f>HYPERLINK("https://kdvr.com/news/health/ap-more-beans-and-less-red-meat-nutritionists-weigh-in-on-us-dietary-guidelines/")</f>
        <v>https://kdvr.com/news/health/ap-more-beans-and-less-red-meat-nutritionists-weigh-in-on-us-dietary-guidelines/</v>
      </c>
      <c r="C3328" s="2" t="s">
        <v>3101</v>
      </c>
      <c r="D3328" s="3">
        <v>45636.619247685187</v>
      </c>
      <c r="E3328" s="2" t="s">
        <v>38</v>
      </c>
    </row>
    <row r="3329" spans="1:5" ht="70" x14ac:dyDescent="0.2">
      <c r="A3329" s="2" t="s">
        <v>122</v>
      </c>
      <c r="B3329" s="2" t="str">
        <f>HYPERLINK("https://www.houstonchronicle.com/living/article/more-beans-and-less-red-meat-nutritionists-weigh-19971789.php")</f>
        <v>https://www.houstonchronicle.com/living/article/more-beans-and-less-red-meat-nutritionists-weigh-19971789.php</v>
      </c>
      <c r="C3329" s="2" t="s">
        <v>3145</v>
      </c>
      <c r="D3329" s="3">
        <v>45636.619247685187</v>
      </c>
      <c r="E3329" s="2" t="s">
        <v>1230</v>
      </c>
    </row>
    <row r="3330" spans="1:5" ht="56" x14ac:dyDescent="0.2">
      <c r="A3330" s="2" t="s">
        <v>122</v>
      </c>
      <c r="B3330" s="2" t="str">
        <f>HYPERLINK("https://www.wral.com/story/more-beans-and-less-red-meat-nutritionists-weigh-in-on-us-dietary-guidelines/21762730/")</f>
        <v>https://www.wral.com/story/more-beans-and-less-red-meat-nutritionists-weigh-in-on-us-dietary-guidelines/21762730/</v>
      </c>
      <c r="C3330" s="2" t="s">
        <v>3185</v>
      </c>
      <c r="D3330" s="3">
        <v>45636.620532407411</v>
      </c>
      <c r="E3330" s="2" t="s">
        <v>38</v>
      </c>
    </row>
    <row r="3331" spans="1:5" ht="56" x14ac:dyDescent="0.2">
      <c r="A3331" s="2" t="s">
        <v>122</v>
      </c>
      <c r="B3331" s="2" t="str">
        <f>HYPERLINK("https://apnews.com/article/usda-hhs-dietary-guidelines-d6a9c6f0554f279497acb5714b3032b9")</f>
        <v>https://apnews.com/article/usda-hhs-dietary-guidelines-d6a9c6f0554f279497acb5714b3032b9</v>
      </c>
      <c r="C3331" s="2" t="s">
        <v>3644</v>
      </c>
      <c r="D3331" s="3">
        <v>45636.620879629627</v>
      </c>
      <c r="E3331" s="2" t="s">
        <v>38</v>
      </c>
    </row>
    <row r="3332" spans="1:5" ht="56" x14ac:dyDescent="0.2">
      <c r="A3332" s="2" t="s">
        <v>122</v>
      </c>
      <c r="B3332" s="2" t="str">
        <f>HYPERLINK("https://www.thereminder.ca/the-mix/more-beans-and-less-red-meat-nutritionists-weigh-in-on-us-dietary-guidelines-9934888")</f>
        <v>https://www.thereminder.ca/the-mix/more-beans-and-less-red-meat-nutritionists-weigh-in-on-us-dietary-guidelines-9934888</v>
      </c>
      <c r="C3332" s="2" t="s">
        <v>947</v>
      </c>
      <c r="D3332" s="3">
        <v>45636.621157407397</v>
      </c>
      <c r="E3332" s="2" t="s">
        <v>38</v>
      </c>
    </row>
    <row r="3333" spans="1:5" ht="56" x14ac:dyDescent="0.2">
      <c r="A3333" s="2" t="s">
        <v>122</v>
      </c>
      <c r="B3333" s="2" t="str">
        <f>HYPERLINK("https://www.thompsoncitizen.net/the-mix/more-beans-and-less-red-meat-nutritionists-weigh-in-on-us-dietary-guidelines-9934888")</f>
        <v>https://www.thompsoncitizen.net/the-mix/more-beans-and-less-red-meat-nutritionists-weigh-in-on-us-dietary-guidelines-9934888</v>
      </c>
      <c r="C3333" s="2" t="s">
        <v>1129</v>
      </c>
      <c r="D3333" s="3">
        <v>45636.621157407397</v>
      </c>
      <c r="E3333" s="2" t="s">
        <v>38</v>
      </c>
    </row>
    <row r="3334" spans="1:5" ht="56" x14ac:dyDescent="0.2">
      <c r="A3334" s="2" t="s">
        <v>122</v>
      </c>
      <c r="B3334" s="2" t="str">
        <f>HYPERLINK("https://www.bowenislandundercurrent.com/the-mix/more-beans-and-less-red-meat-nutritionists-weigh-in-on-us-dietary-guidelines-9934888")</f>
        <v>https://www.bowenislandundercurrent.com/the-mix/more-beans-and-less-red-meat-nutritionists-weigh-in-on-us-dietary-guidelines-9934888</v>
      </c>
      <c r="C3334" s="2" t="s">
        <v>1458</v>
      </c>
      <c r="D3334" s="3">
        <v>45636.621157407397</v>
      </c>
      <c r="E3334" s="2" t="s">
        <v>38</v>
      </c>
    </row>
    <row r="3335" spans="1:5" ht="56" x14ac:dyDescent="0.2">
      <c r="A3335" s="2" t="s">
        <v>122</v>
      </c>
      <c r="B3335" s="2" t="str">
        <f>HYPERLINK("https://www.townandcountrytoday.com/health/more-beans-and-less-red-meat-nutritionists-weigh-in-on-us-dietary-guidelines-9934906")</f>
        <v>https://www.townandcountrytoday.com/health/more-beans-and-less-red-meat-nutritionists-weigh-in-on-us-dietary-guidelines-9934906</v>
      </c>
      <c r="C3335" s="2" t="s">
        <v>1494</v>
      </c>
      <c r="D3335" s="3">
        <v>45636.621157407397</v>
      </c>
      <c r="E3335" s="2" t="s">
        <v>38</v>
      </c>
    </row>
    <row r="3336" spans="1:5" ht="56" x14ac:dyDescent="0.2">
      <c r="A3336" s="2" t="s">
        <v>122</v>
      </c>
      <c r="B3336" s="2" t="str">
        <f>HYPERLINK("https://www.fitzhugh.ca/national-lifestyle/more-beans-and-less-red-meat-nutritionists-weigh-in-on-us-dietary-guidelines-9935030")</f>
        <v>https://www.fitzhugh.ca/national-lifestyle/more-beans-and-less-red-meat-nutritionists-weigh-in-on-us-dietary-guidelines-9935030</v>
      </c>
      <c r="C3336" s="2" t="s">
        <v>1537</v>
      </c>
      <c r="D3336" s="3">
        <v>45636.621157407397</v>
      </c>
      <c r="E3336" s="2" t="s">
        <v>38</v>
      </c>
    </row>
    <row r="3337" spans="1:5" ht="56" x14ac:dyDescent="0.2">
      <c r="A3337" s="2" t="s">
        <v>122</v>
      </c>
      <c r="B3337" s="2" t="str">
        <f>HYPERLINK("https://www.prpeak.com/the-mix/more-beans-and-less-red-meat-nutritionists-weigh-in-on-us-dietary-guidelines-9934888")</f>
        <v>https://www.prpeak.com/the-mix/more-beans-and-less-red-meat-nutritionists-weigh-in-on-us-dietary-guidelines-9934888</v>
      </c>
      <c r="C3337" s="2" t="s">
        <v>1469</v>
      </c>
      <c r="D3337" s="3">
        <v>45636.621157407397</v>
      </c>
      <c r="E3337" s="2" t="s">
        <v>38</v>
      </c>
    </row>
    <row r="3338" spans="1:5" ht="56" x14ac:dyDescent="0.2">
      <c r="A3338" s="2" t="s">
        <v>122</v>
      </c>
      <c r="B3338" s="2" t="str">
        <f>HYPERLINK("https://www.lakelandtoday.ca/health/more-beans-and-less-red-meat-nutritionists-weigh-in-on-us-dietary-guidelines-9934906")</f>
        <v>https://www.lakelandtoday.ca/health/more-beans-and-less-red-meat-nutritionists-weigh-in-on-us-dietary-guidelines-9934906</v>
      </c>
      <c r="C3338" s="2" t="s">
        <v>1692</v>
      </c>
      <c r="D3338" s="3">
        <v>45636.621157407397</v>
      </c>
      <c r="E3338" s="2" t="s">
        <v>38</v>
      </c>
    </row>
    <row r="3339" spans="1:5" ht="56" x14ac:dyDescent="0.2">
      <c r="A3339" s="2" t="s">
        <v>122</v>
      </c>
      <c r="B3339" s="2" t="str">
        <f>HYPERLINK("https://www.thealbertan.com/lifestyle/more-beans-and-less-red-meat-nutritionists-weigh-in-on-us-dietary-guidelines-9935030")</f>
        <v>https://www.thealbertan.com/lifestyle/more-beans-and-less-red-meat-nutritionists-weigh-in-on-us-dietary-guidelines-9935030</v>
      </c>
      <c r="C3339" s="2" t="s">
        <v>1937</v>
      </c>
      <c r="D3339" s="3">
        <v>45636.621157407397</v>
      </c>
      <c r="E3339" s="2" t="s">
        <v>38</v>
      </c>
    </row>
    <row r="3340" spans="1:5" ht="56" x14ac:dyDescent="0.2">
      <c r="A3340" s="2" t="s">
        <v>122</v>
      </c>
      <c r="B3340" s="2" t="str">
        <f>HYPERLINK("https://www.squamishchief.com/the-mix/more-beans-and-less-red-meat-nutritionists-weigh-in-on-us-dietary-guidelines-9934888")</f>
        <v>https://www.squamishchief.com/the-mix/more-beans-and-less-red-meat-nutritionists-weigh-in-on-us-dietary-guidelines-9934888</v>
      </c>
      <c r="C3340" s="2" t="s">
        <v>1993</v>
      </c>
      <c r="D3340" s="3">
        <v>45636.621157407397</v>
      </c>
      <c r="E3340" s="2" t="s">
        <v>38</v>
      </c>
    </row>
    <row r="3341" spans="1:5" ht="56" x14ac:dyDescent="0.2">
      <c r="A3341" s="2" t="s">
        <v>122</v>
      </c>
      <c r="B3341" s="2" t="str">
        <f>HYPERLINK("https://www.stalbertgazette.com/lifestyle-news/more-beans-and-less-red-meat-nutritionists-weigh-in-on-us-dietary-guidelines-9935030")</f>
        <v>https://www.stalbertgazette.com/lifestyle-news/more-beans-and-less-red-meat-nutritionists-weigh-in-on-us-dietary-guidelines-9935030</v>
      </c>
      <c r="C3341" s="2" t="s">
        <v>2056</v>
      </c>
      <c r="D3341" s="3">
        <v>45636.621157407397</v>
      </c>
      <c r="E3341" s="2" t="s">
        <v>38</v>
      </c>
    </row>
    <row r="3342" spans="1:5" ht="56" x14ac:dyDescent="0.2">
      <c r="A3342" s="2" t="s">
        <v>963</v>
      </c>
      <c r="B3342" s="2" t="str">
        <f>HYPERLINK("https://www.piquenewsmagazine.com/health/more-beans-and-less-red-meat-nutritionists-weigh-in-on-us-dietary-guidelines-9934906")</f>
        <v>https://www.piquenewsmagazine.com/health/more-beans-and-less-red-meat-nutritionists-weigh-in-on-us-dietary-guidelines-9934906</v>
      </c>
      <c r="C3342" s="2" t="s">
        <v>2072</v>
      </c>
      <c r="D3342" s="3">
        <v>45636.621157407397</v>
      </c>
      <c r="E3342" s="2" t="s">
        <v>38</v>
      </c>
    </row>
    <row r="3343" spans="1:5" ht="56" x14ac:dyDescent="0.2">
      <c r="A3343" s="2" t="s">
        <v>963</v>
      </c>
      <c r="B3343" s="2" t="str">
        <f>HYPERLINK("https://www.piquenewsmagazine.com/the-mix/more-beans-and-less-red-meat-nutritionists-weigh-in-on-us-dietary-guidelines-9934888")</f>
        <v>https://www.piquenewsmagazine.com/the-mix/more-beans-and-less-red-meat-nutritionists-weigh-in-on-us-dietary-guidelines-9934888</v>
      </c>
      <c r="C3343" s="2" t="s">
        <v>2072</v>
      </c>
      <c r="D3343" s="3">
        <v>45636.621157407397</v>
      </c>
      <c r="E3343" s="2" t="s">
        <v>38</v>
      </c>
    </row>
    <row r="3344" spans="1:5" ht="56" x14ac:dyDescent="0.2">
      <c r="A3344" s="2" t="s">
        <v>122</v>
      </c>
      <c r="B3344" s="2" t="str">
        <f>HYPERLINK("https://www.coastreporter.net/the-mix/more-beans-and-less-red-meat-nutritionists-weigh-in-on-us-dietary-guidelines-9934888")</f>
        <v>https://www.coastreporter.net/the-mix/more-beans-and-less-red-meat-nutritionists-weigh-in-on-us-dietary-guidelines-9934888</v>
      </c>
      <c r="C3344" s="2" t="s">
        <v>1997</v>
      </c>
      <c r="D3344" s="3">
        <v>45636.621157407397</v>
      </c>
      <c r="E3344" s="2" t="s">
        <v>38</v>
      </c>
    </row>
    <row r="3345" spans="1:5" ht="56" x14ac:dyDescent="0.2">
      <c r="A3345" s="2" t="s">
        <v>122</v>
      </c>
      <c r="B3345" s="2" t="str">
        <f>HYPERLINK("https://www.delta-optimist.com/the-mix/more-beans-and-less-red-meat-nutritionists-weigh-in-on-us-dietary-guidelines-9934888")</f>
        <v>https://www.delta-optimist.com/the-mix/more-beans-and-less-red-meat-nutritionists-weigh-in-on-us-dietary-guidelines-9934888</v>
      </c>
      <c r="C3345" s="2" t="s">
        <v>2001</v>
      </c>
      <c r="D3345" s="3">
        <v>45636.621157407397</v>
      </c>
      <c r="E3345" s="2" t="s">
        <v>38</v>
      </c>
    </row>
    <row r="3346" spans="1:5" ht="56" x14ac:dyDescent="0.2">
      <c r="A3346" s="2" t="s">
        <v>122</v>
      </c>
      <c r="B3346" s="2" t="str">
        <f>HYPERLINK("https://www.westernwheel.ca/health/more-beans-and-less-red-meat-nutritionists-weigh-in-on-us-dietary-guidelines-9934906")</f>
        <v>https://www.westernwheel.ca/health/more-beans-and-less-red-meat-nutritionists-weigh-in-on-us-dietary-guidelines-9934906</v>
      </c>
      <c r="C3346" s="2" t="s">
        <v>2123</v>
      </c>
      <c r="D3346" s="3">
        <v>45636.621157407397</v>
      </c>
      <c r="E3346" s="2" t="s">
        <v>38</v>
      </c>
    </row>
    <row r="3347" spans="1:5" ht="56" x14ac:dyDescent="0.2">
      <c r="A3347" s="2" t="s">
        <v>122</v>
      </c>
      <c r="B3347" s="2" t="str">
        <f>HYPERLINK("https://www.rmoutlook.com/lifestyle/more-beans-and-less-red-meat-nutritionists-weigh-in-on-us-dietary-guidelines-9935030")</f>
        <v>https://www.rmoutlook.com/lifestyle/more-beans-and-less-red-meat-nutritionists-weigh-in-on-us-dietary-guidelines-9935030</v>
      </c>
      <c r="C3347" s="2" t="s">
        <v>2257</v>
      </c>
      <c r="D3347" s="3">
        <v>45636.621157407397</v>
      </c>
      <c r="E3347" s="2" t="s">
        <v>38</v>
      </c>
    </row>
    <row r="3348" spans="1:5" ht="56" x14ac:dyDescent="0.2">
      <c r="A3348" s="2" t="s">
        <v>122</v>
      </c>
      <c r="B3348" s="2" t="str">
        <f>HYPERLINK("https://www.nsnews.com/the-mix/more-beans-and-less-red-meat-nutritionists-weigh-in-on-us-dietary-guidelines-9934888")</f>
        <v>https://www.nsnews.com/the-mix/more-beans-and-less-red-meat-nutritionists-weigh-in-on-us-dietary-guidelines-9934888</v>
      </c>
      <c r="C3348" s="2" t="s">
        <v>2400</v>
      </c>
      <c r="D3348" s="3">
        <v>45636.621157407397</v>
      </c>
      <c r="E3348" s="2" t="s">
        <v>38</v>
      </c>
    </row>
    <row r="3349" spans="1:5" ht="56" x14ac:dyDescent="0.2">
      <c r="A3349" s="2" t="s">
        <v>122</v>
      </c>
      <c r="B3349" s="2" t="str">
        <f>HYPERLINK("https://www.burnabynow.com/the-mix/more-beans-and-less-red-meat-nutritionists-weigh-in-on-us-dietary-guidelines-9934888")</f>
        <v>https://www.burnabynow.com/the-mix/more-beans-and-less-red-meat-nutritionists-weigh-in-on-us-dietary-guidelines-9934888</v>
      </c>
      <c r="C3349" s="2" t="s">
        <v>2394</v>
      </c>
      <c r="D3349" s="3">
        <v>45636.621157407397</v>
      </c>
      <c r="E3349" s="2" t="s">
        <v>38</v>
      </c>
    </row>
    <row r="3350" spans="1:5" ht="56" x14ac:dyDescent="0.2">
      <c r="A3350" s="2" t="s">
        <v>122</v>
      </c>
      <c r="B3350" s="2" t="str">
        <f>HYPERLINK("https://www.cochraneeagle.ca/health/more-beans-and-less-red-meat-nutritionists-weigh-in-on-us-dietary-guidelines-9934906")</f>
        <v>https://www.cochraneeagle.ca/health/more-beans-and-less-red-meat-nutritionists-weigh-in-on-us-dietary-guidelines-9934906</v>
      </c>
      <c r="C3350" s="2" t="s">
        <v>3895</v>
      </c>
      <c r="D3350" s="3">
        <v>45636.621157407397</v>
      </c>
      <c r="E3350" s="2" t="s">
        <v>38</v>
      </c>
    </row>
    <row r="3351" spans="1:5" ht="42" x14ac:dyDescent="0.2">
      <c r="A3351" s="2" t="s">
        <v>122</v>
      </c>
      <c r="B3351" s="2" t="str">
        <f>HYPERLINK("https://wnyt.com/us-news/more-beans-and-less-red-meat-nutritionists-weigh-in-on-us-dietary-guidelines/")</f>
        <v>https://wnyt.com/us-news/more-beans-and-less-red-meat-nutritionists-weigh-in-on-us-dietary-guidelines/</v>
      </c>
      <c r="C3351" s="2" t="s">
        <v>2461</v>
      </c>
      <c r="D3351" s="3">
        <v>45636.622037037043</v>
      </c>
      <c r="E3351" s="2" t="s">
        <v>38</v>
      </c>
    </row>
    <row r="3352" spans="1:5" ht="56" x14ac:dyDescent="0.2">
      <c r="A3352" s="2" t="s">
        <v>122</v>
      </c>
      <c r="B3352" s="2" t="str">
        <f>HYPERLINK("https://www.whec.com/national-world/more-beans-and-less-red-meat-nutritionists-weigh-in-on-us-dietary-guidelines/")</f>
        <v>https://www.whec.com/national-world/more-beans-and-less-red-meat-nutritionists-weigh-in-on-us-dietary-guidelines/</v>
      </c>
      <c r="C3352" s="2" t="s">
        <v>2624</v>
      </c>
      <c r="D3352" s="3">
        <v>45636.622106481482</v>
      </c>
      <c r="E3352" s="2" t="s">
        <v>38</v>
      </c>
    </row>
    <row r="3353" spans="1:5" ht="70" x14ac:dyDescent="0.2">
      <c r="A3353" s="2" t="s">
        <v>122</v>
      </c>
      <c r="B3353" s="2" t="str">
        <f>HYPERLINK("https://www.ajc.com/news/nation-world/more-beans-and-less-red-meat-nutritionists-weigh-in-on-us-dietary-guidelines/V7KMY762O5E6ZHGFHGKKPKV45A/")</f>
        <v>https://www.ajc.com/news/nation-world/more-beans-and-less-red-meat-nutritionists-weigh-in-on-us-dietary-guidelines/V7KMY762O5E6ZHGFHGKKPKV45A/</v>
      </c>
      <c r="C3353" s="2" t="s">
        <v>3244</v>
      </c>
      <c r="D3353" s="3">
        <v>45636.622106481482</v>
      </c>
      <c r="E3353" s="2" t="s">
        <v>38</v>
      </c>
    </row>
    <row r="3354" spans="1:5" ht="56" x14ac:dyDescent="0.2">
      <c r="A3354" s="2" t="s">
        <v>122</v>
      </c>
      <c r="B3354" s="2" t="str">
        <f>HYPERLINK("https://www.wsbradio.com/news/health/more-beans-less-red/AR44XZFZDZHWBCQGLOFD3SFTXU/")</f>
        <v>https://www.wsbradio.com/news/health/more-beans-less-red/AR44XZFZDZHWBCQGLOFD3SFTXU/</v>
      </c>
      <c r="C3354" s="2" t="s">
        <v>2353</v>
      </c>
      <c r="D3354" s="3">
        <v>45636.622164351851</v>
      </c>
      <c r="E3354" s="2" t="s">
        <v>38</v>
      </c>
    </row>
    <row r="3355" spans="1:5" ht="56" x14ac:dyDescent="0.2">
      <c r="A3355" s="2" t="s">
        <v>122</v>
      </c>
      <c r="B3355" s="2" t="str">
        <f>HYPERLINK("https://www.wsoctv.com/news/health/more-beans-less-red/AR44XZFZDZHWBCQGLOFD3SFTXU/")</f>
        <v>https://www.wsoctv.com/news/health/more-beans-less-red/AR44XZFZDZHWBCQGLOFD3SFTXU/</v>
      </c>
      <c r="C3355" s="2" t="s">
        <v>2786</v>
      </c>
      <c r="D3355" s="3">
        <v>45636.622164351851</v>
      </c>
      <c r="E3355" s="2" t="s">
        <v>38</v>
      </c>
    </row>
    <row r="3356" spans="1:5" ht="56" x14ac:dyDescent="0.2">
      <c r="A3356" s="2" t="s">
        <v>963</v>
      </c>
      <c r="B3356" s="2" t="str">
        <f>HYPERLINK("https://www.whio.com/news/health/more-beans-less-red/AR44XZFZDZHWBCQGLOFD3SFTXU/")</f>
        <v>https://www.whio.com/news/health/more-beans-less-red/AR44XZFZDZHWBCQGLOFD3SFTXU/</v>
      </c>
      <c r="C3356" s="2" t="s">
        <v>2796</v>
      </c>
      <c r="D3356" s="3">
        <v>45636.622164351851</v>
      </c>
      <c r="E3356" s="2" t="s">
        <v>38</v>
      </c>
    </row>
    <row r="3357" spans="1:5" ht="56" x14ac:dyDescent="0.2">
      <c r="A3357" s="2" t="s">
        <v>122</v>
      </c>
      <c r="B3357" s="2" t="str">
        <f>HYPERLINK("https://www.wsbtv.com/news/health/more-beans-less-red/AR44XZFZDZHWBCQGLOFD3SFTXU/")</f>
        <v>https://www.wsbtv.com/news/health/more-beans-less-red/AR44XZFZDZHWBCQGLOFD3SFTXU/</v>
      </c>
      <c r="C3357" s="2" t="s">
        <v>3223</v>
      </c>
      <c r="D3357" s="3">
        <v>45636.622164351851</v>
      </c>
      <c r="E3357" s="2" t="s">
        <v>38</v>
      </c>
    </row>
    <row r="3358" spans="1:5" ht="70" x14ac:dyDescent="0.2">
      <c r="A3358" s="2" t="s">
        <v>122</v>
      </c>
      <c r="B3358" s="2" t="str">
        <f>HYPERLINK("https://www.journal-news.com/nation-world/more-beans-and-less-red-meat-nutritionists-weigh-in-on-us-dietary-guidelines/PTOKCZ6QBFGB3FUR4LQ6PHKQAQ/")</f>
        <v>https://www.journal-news.com/nation-world/more-beans-and-less-red-meat-nutritionists-weigh-in-on-us-dietary-guidelines/PTOKCZ6QBFGB3FUR4LQ6PHKQAQ/</v>
      </c>
      <c r="C3358" s="2" t="s">
        <v>2101</v>
      </c>
      <c r="D3358" s="3">
        <v>45636.622199074067</v>
      </c>
      <c r="E3358" s="2" t="s">
        <v>38</v>
      </c>
    </row>
    <row r="3359" spans="1:5" ht="84" x14ac:dyDescent="0.2">
      <c r="A3359" s="2" t="s">
        <v>122</v>
      </c>
      <c r="B3359" s="2" t="str">
        <f>HYPERLINK("https://www.springfieldnewssun.com/nation-world/more-beans-and-less-red-meat-nutritionists-weigh-in-on-us-dietary-guidelines/PTOKCZ6QBFGB3FUR4LQ6PHKQAQ/")</f>
        <v>https://www.springfieldnewssun.com/nation-world/more-beans-and-less-red-meat-nutritionists-weigh-in-on-us-dietary-guidelines/PTOKCZ6QBFGB3FUR4LQ6PHKQAQ/</v>
      </c>
      <c r="C3359" s="2" t="s">
        <v>1950</v>
      </c>
      <c r="D3359" s="3">
        <v>45636.622199074067</v>
      </c>
      <c r="E3359" s="2" t="s">
        <v>38</v>
      </c>
    </row>
    <row r="3360" spans="1:5" ht="70" x14ac:dyDescent="0.2">
      <c r="A3360" s="2" t="s">
        <v>122</v>
      </c>
      <c r="B3360" s="2" t="str">
        <f>HYPERLINK("https://www.daytondailynews.com/nation-world/more-beans-and-less-red-meat-nutritionists-weigh-in-on-us-dietary-guidelines/PTOKCZ6QBFGB3FUR4LQ6PHKQAQ/")</f>
        <v>https://www.daytondailynews.com/nation-world/more-beans-and-less-red-meat-nutritionists-weigh-in-on-us-dietary-guidelines/PTOKCZ6QBFGB3FUR4LQ6PHKQAQ/</v>
      </c>
      <c r="C3360" s="2" t="s">
        <v>2726</v>
      </c>
      <c r="D3360" s="3">
        <v>45636.622199074067</v>
      </c>
      <c r="E3360" s="2" t="s">
        <v>38</v>
      </c>
    </row>
    <row r="3361" spans="1:5" ht="56" x14ac:dyDescent="0.2">
      <c r="A3361" s="2" t="s">
        <v>122</v>
      </c>
      <c r="B3361" s="2" t="str">
        <f>HYPERLINK("https://kstp.com/associated-press/ap-us-international/more-beans-and-less-red-meat-nutritionists-weigh-in-on-us-dietary-guidelines/")</f>
        <v>https://kstp.com/associated-press/ap-us-international/more-beans-and-less-red-meat-nutritionists-weigh-in-on-us-dietary-guidelines/</v>
      </c>
      <c r="C3361" s="2" t="s">
        <v>2840</v>
      </c>
      <c r="D3361" s="3">
        <v>45636.622291666667</v>
      </c>
      <c r="E3361" s="2" t="s">
        <v>38</v>
      </c>
    </row>
    <row r="3362" spans="1:5" ht="70" x14ac:dyDescent="0.2">
      <c r="A3362" s="2" t="s">
        <v>122</v>
      </c>
      <c r="B3362" s="2" t="str">
        <f>HYPERLINK("https://www.seattlepi.com/living/article/more-beans-and-less-red-meat-nutritionists-weigh-19971789.php")</f>
        <v>https://www.seattlepi.com/living/article/more-beans-and-less-red-meat-nutritionists-weigh-19971789.php</v>
      </c>
      <c r="C3362" s="2" t="s">
        <v>2324</v>
      </c>
      <c r="D3362" s="3">
        <v>45636.622349537043</v>
      </c>
      <c r="E3362" s="2" t="s">
        <v>1230</v>
      </c>
    </row>
    <row r="3363" spans="1:5" ht="42" x14ac:dyDescent="0.2">
      <c r="A3363" s="2" t="s">
        <v>122</v>
      </c>
      <c r="B3363" s="2" t="str">
        <f>HYPERLINK("https://www.kob.com/news/health/more-beans-and-less-red-meat-nutritionists-weigh-in-on-us-dietary-guidelines/")</f>
        <v>https://www.kob.com/news/health/more-beans-and-less-red-meat-nutritionists-weigh-in-on-us-dietary-guidelines/</v>
      </c>
      <c r="C3363" s="2" t="s">
        <v>2543</v>
      </c>
      <c r="D3363" s="3">
        <v>45636.622384259259</v>
      </c>
      <c r="E3363" s="2" t="s">
        <v>38</v>
      </c>
    </row>
    <row r="3364" spans="1:5" ht="56" x14ac:dyDescent="0.2">
      <c r="A3364" s="2" t="s">
        <v>3654</v>
      </c>
      <c r="B3364" s="2" t="str">
        <f>HYPERLINK("https://www.dailymail.co.uk/wires/ap/article-14179025/More-beans-red-meat-Nutritionists-weigh-US-dietary-guidelines.html")</f>
        <v>https://www.dailymail.co.uk/wires/ap/article-14179025/More-beans-red-meat-Nutritionists-weigh-US-dietary-guidelines.html</v>
      </c>
      <c r="C3364" s="2" t="s">
        <v>3655</v>
      </c>
      <c r="D3364" s="3">
        <v>45636.62358796296</v>
      </c>
      <c r="E3364" s="2" t="s">
        <v>38</v>
      </c>
    </row>
    <row r="3365" spans="1:5" ht="42" x14ac:dyDescent="0.2">
      <c r="A3365" s="2" t="s">
        <v>122</v>
      </c>
      <c r="B3365" s="2" t="str">
        <f>HYPERLINK("https://www.newsday.com/lifestyle/usda-hhs-dietary-guidelines-e87648")</f>
        <v>https://www.newsday.com/lifestyle/usda-hhs-dietary-guidelines-e87648</v>
      </c>
      <c r="C3365" s="2" t="s">
        <v>2950</v>
      </c>
      <c r="D3365" s="3">
        <v>45636.623680555553</v>
      </c>
      <c r="E3365" s="2" t="s">
        <v>38</v>
      </c>
    </row>
    <row r="3366" spans="1:5" ht="70" x14ac:dyDescent="0.2">
      <c r="A3366" s="2" t="s">
        <v>122</v>
      </c>
      <c r="B3366" s="2" t="str">
        <f>HYPERLINK("https://www.wdtimes.com/news/national/more-beans-and-less-red-meat-nutritionists-weigh-in-on-us-dietary-guidelines/article_b3f1d1ba-6729-55af-9d41-c6cac32e5378.html")</f>
        <v>https://www.wdtimes.com/news/national/more-beans-and-less-red-meat-nutritionists-weigh-in-on-us-dietary-guidelines/article_b3f1d1ba-6729-55af-9d41-c6cac32e5378.html</v>
      </c>
      <c r="C3366" s="2" t="s">
        <v>1535</v>
      </c>
      <c r="D3366" s="3">
        <v>45636.623703703714</v>
      </c>
      <c r="E3366" s="2" t="s">
        <v>38</v>
      </c>
    </row>
    <row r="3367" spans="1:5" ht="70" x14ac:dyDescent="0.2">
      <c r="A3367" s="2" t="s">
        <v>122</v>
      </c>
      <c r="B3367" s="2" t="str">
        <f>HYPERLINK("https://am970theanswer.com/news/national/more-beans-and-less-red-meat-nutritionists-weigh-in-on-us-dietary-guidelines/d6a9c6f0554f279497acb5714b3032b9")</f>
        <v>https://am970theanswer.com/news/national/more-beans-and-less-red-meat-nutritionists-weigh-in-on-us-dietary-guidelines/d6a9c6f0554f279497acb5714b3032b9</v>
      </c>
      <c r="C3367" s="2" t="s">
        <v>1007</v>
      </c>
      <c r="D3367" s="3">
        <v>45636.623715277783</v>
      </c>
      <c r="E3367" s="2" t="s">
        <v>38</v>
      </c>
    </row>
    <row r="3368" spans="1:5" ht="56" x14ac:dyDescent="0.2">
      <c r="A3368" s="2" t="s">
        <v>122</v>
      </c>
      <c r="B3368" s="2" t="str">
        <f>HYPERLINK("https://www.kaaltv.com/news/us-world-news/more-beans-and-less-red-meat-nutritionists-weigh-in-on-us-dietary-guidelines/")</f>
        <v>https://www.kaaltv.com/news/us-world-news/more-beans-and-less-red-meat-nutritionists-weigh-in-on-us-dietary-guidelines/</v>
      </c>
      <c r="C3368" s="2" t="s">
        <v>2388</v>
      </c>
      <c r="D3368" s="3">
        <v>45636.623773148152</v>
      </c>
      <c r="E3368" s="2" t="s">
        <v>38</v>
      </c>
    </row>
    <row r="3369" spans="1:5" ht="98" x14ac:dyDescent="0.2">
      <c r="A3369" s="2" t="s">
        <v>122</v>
      </c>
      <c r="B3369" s="2" t="str">
        <f>HYPERLINK("https://www.winnipegfreepress.com/arts-and-life/life/2024/12/10/more-beans-and-less-red-meat-nutritionists-weigh-in-on-us-dietary-guidelines")</f>
        <v>https://www.winnipegfreepress.com/arts-and-life/life/2024/12/10/more-beans-and-less-red-meat-nutritionists-weigh-in-on-us-dietary-guidelines</v>
      </c>
      <c r="C3369" s="2" t="s">
        <v>2832</v>
      </c>
      <c r="D3369" s="3">
        <v>45636.623784722222</v>
      </c>
      <c r="E3369" s="2" t="s">
        <v>2833</v>
      </c>
    </row>
    <row r="3370" spans="1:5" ht="70" x14ac:dyDescent="0.2">
      <c r="A3370" s="2" t="s">
        <v>122</v>
      </c>
      <c r="B3370" s="2" t="str">
        <f>HYPERLINK("https://www.sfgate.com/living/article/more-beans-and-less-red-meat-nutritionists-weigh-19971789.php")</f>
        <v>https://www.sfgate.com/living/article/more-beans-and-less-red-meat-nutritionists-weigh-19971789.php</v>
      </c>
      <c r="C3370" s="2" t="s">
        <v>3492</v>
      </c>
      <c r="D3370" s="3">
        <v>45636.623784722222</v>
      </c>
      <c r="E3370" s="2" t="s">
        <v>1230</v>
      </c>
    </row>
    <row r="3371" spans="1:5" ht="42" x14ac:dyDescent="0.2">
      <c r="A3371" s="2" t="s">
        <v>122</v>
      </c>
      <c r="B3371" s="2" t="str">
        <f>HYPERLINK("https://ca.news.yahoo.com/more-beans-less-red-meat-195142429.html")</f>
        <v>https://ca.news.yahoo.com/more-beans-less-red-meat-195142429.html</v>
      </c>
      <c r="C3371" s="2" t="s">
        <v>3097</v>
      </c>
      <c r="D3371" s="3">
        <v>45636.6249537037</v>
      </c>
      <c r="E3371" s="2" t="s">
        <v>38</v>
      </c>
    </row>
    <row r="3372" spans="1:5" ht="70" x14ac:dyDescent="0.2">
      <c r="A3372" s="2" t="s">
        <v>122</v>
      </c>
      <c r="B3372" s="2" t="str">
        <f>HYPERLINK("https://www.thespec.com/life/more-beans-and-less-red-meat-nutritionists-weigh-in-on-us-dietary-guidelines/article_ac821b0a-927a-5e3a-885c-c28f263b287a.html")</f>
        <v>https://www.thespec.com/life/more-beans-and-less-red-meat-nutritionists-weigh-in-on-us-dietary-guidelines/article_ac821b0a-927a-5e3a-885c-c28f263b287a.html</v>
      </c>
      <c r="C3372" s="2" t="s">
        <v>2836</v>
      </c>
      <c r="D3372" s="3">
        <v>45636.625011574077</v>
      </c>
      <c r="E3372" s="2" t="s">
        <v>38</v>
      </c>
    </row>
    <row r="3373" spans="1:5" ht="56" x14ac:dyDescent="0.2">
      <c r="A3373" s="2" t="s">
        <v>122</v>
      </c>
      <c r="B3373" s="2" t="str">
        <f>HYPERLINK("https://www.independent.co.uk/news/world/americas/americans-ap-nestle-american-health-and-human-services-department-b2662162.html")</f>
        <v>https://www.independent.co.uk/news/world/americas/americans-ap-nestle-american-health-and-human-services-department-b2662162.html</v>
      </c>
      <c r="C3373" s="2" t="s">
        <v>3649</v>
      </c>
      <c r="D3373" s="3">
        <v>45636.625937500001</v>
      </c>
      <c r="E3373" s="2" t="s">
        <v>38</v>
      </c>
    </row>
    <row r="3374" spans="1:5" ht="70" x14ac:dyDescent="0.2">
      <c r="A3374" s="2" t="s">
        <v>122</v>
      </c>
      <c r="B3374" s="2" t="str">
        <f>HYPERLINK("https://www.middletownpress.com/living/article/more-beans-and-less-red-meat-nutritionists-weigh-19971789.php")</f>
        <v>https://www.middletownpress.com/living/article/more-beans-and-less-red-meat-nutritionists-weigh-19971789.php</v>
      </c>
      <c r="C3374" s="2" t="s">
        <v>2082</v>
      </c>
      <c r="D3374" s="3">
        <v>45636.627106481479</v>
      </c>
      <c r="E3374" s="2" t="s">
        <v>1230</v>
      </c>
    </row>
    <row r="3375" spans="1:5" ht="42" x14ac:dyDescent="0.2">
      <c r="A3375" s="2" t="s">
        <v>963</v>
      </c>
      <c r="B3375" s="2" t="str">
        <f>HYPERLINK("https://wgnradio.com/health/ap-more-beans-and-less-red-meat-nutritionists-weigh-in-on-us-dietary-guidelines/")</f>
        <v>https://wgnradio.com/health/ap-more-beans-and-less-red-meat-nutritionists-weigh-in-on-us-dietary-guidelines/</v>
      </c>
      <c r="C3375" s="2" t="s">
        <v>2209</v>
      </c>
      <c r="D3375" s="3">
        <v>45636.627824074072</v>
      </c>
      <c r="E3375" s="2" t="s">
        <v>38</v>
      </c>
    </row>
    <row r="3376" spans="1:5" ht="56" x14ac:dyDescent="0.2">
      <c r="A3376" s="2" t="s">
        <v>122</v>
      </c>
      <c r="B3376" s="2" t="str">
        <f>HYPERLINK("https://www.startribune.com/more-beans-and-less-red-meat-nutritionists-weigh-in-on-us-dietary-guidelines/601193296")</f>
        <v>https://www.startribune.com/more-beans-and-less-red-meat-nutritionists-weigh-in-on-us-dietary-guidelines/601193296</v>
      </c>
      <c r="C3376" s="2" t="s">
        <v>3177</v>
      </c>
      <c r="D3376" s="3">
        <v>45636.628113425933</v>
      </c>
      <c r="E3376" s="2" t="s">
        <v>38</v>
      </c>
    </row>
    <row r="3377" spans="1:5" ht="42" x14ac:dyDescent="0.2">
      <c r="A3377" s="2" t="s">
        <v>122</v>
      </c>
      <c r="B3377" s="2" t="str">
        <f>HYPERLINK("https://wtop.com/lifestyle/2024/12/more-beans-and-less-red-meat-nutritionists-weigh-in-on-us-dietary-guidelines/")</f>
        <v>https://wtop.com/lifestyle/2024/12/more-beans-and-less-red-meat-nutritionists-weigh-in-on-us-dietary-guidelines/</v>
      </c>
      <c r="C3377" s="2" t="s">
        <v>3076</v>
      </c>
      <c r="D3377" s="3">
        <v>45636.628252314818</v>
      </c>
      <c r="E3377" s="2" t="s">
        <v>38</v>
      </c>
    </row>
    <row r="3378" spans="1:5" ht="84" x14ac:dyDescent="0.2">
      <c r="A3378" s="2" t="s">
        <v>122</v>
      </c>
      <c r="B3378" s="2" t="str">
        <f>HYPERLINK("https://www.register-herald.com/news/nation_world/more-beans-and-less-red-meat-nutritionists-weigh-in-on-us-dietary-guidelines/article_37434de0-ff58-5566-b803-f71c3a13a03f.html")</f>
        <v>https://www.register-herald.com/news/nation_world/more-beans-and-less-red-meat-nutritionists-weigh-in-on-us-dietary-guidelines/article_37434de0-ff58-5566-b803-f71c3a13a03f.html</v>
      </c>
      <c r="C3378" s="2" t="s">
        <v>1795</v>
      </c>
      <c r="D3378" s="3">
        <v>45636.628506944442</v>
      </c>
      <c r="E3378" s="2" t="s">
        <v>38</v>
      </c>
    </row>
    <row r="3379" spans="1:5" ht="70" x14ac:dyDescent="0.2">
      <c r="A3379" s="2" t="s">
        <v>122</v>
      </c>
      <c r="B3379" s="2" t="str">
        <f>HYPERLINK("https://www.djournal.com/news/nation-world/more-beans-and-less-red-meat-nutritionists-weigh-in-on-us-dietary-guidelines/article_aa7836b6-edab-5dca-9dbf-78d4028b5b19.html")</f>
        <v>https://www.djournal.com/news/nation-world/more-beans-and-less-red-meat-nutritionists-weigh-in-on-us-dietary-guidelines/article_aa7836b6-edab-5dca-9dbf-78d4028b5b19.html</v>
      </c>
      <c r="C3379" s="2" t="s">
        <v>1910</v>
      </c>
      <c r="D3379" s="3">
        <v>45636.628645833327</v>
      </c>
      <c r="E3379" s="2" t="s">
        <v>38</v>
      </c>
    </row>
    <row r="3380" spans="1:5" ht="70" x14ac:dyDescent="0.2">
      <c r="A3380" s="2" t="s">
        <v>122</v>
      </c>
      <c r="B3380" s="2" t="str">
        <f>HYPERLINK("https://www.beaumontenterprise.com/living/article/more-beans-and-less-red-meat-nutritionists-weigh-19971789.php")</f>
        <v>https://www.beaumontenterprise.com/living/article/more-beans-and-less-red-meat-nutritionists-weigh-19971789.php</v>
      </c>
      <c r="C3380" s="2" t="s">
        <v>2383</v>
      </c>
      <c r="D3380" s="3">
        <v>45636.628692129627</v>
      </c>
      <c r="E3380" s="2" t="s">
        <v>1230</v>
      </c>
    </row>
    <row r="3381" spans="1:5" ht="56" x14ac:dyDescent="0.2">
      <c r="A3381" s="2" t="s">
        <v>122</v>
      </c>
      <c r="B3381" s="2" t="str">
        <f>HYPERLINK("https://www.mymotherlode.com/news/national/3470104/more-beans-and-less-red-meat-nutritionists-weigh-in-on-us-dietary-guidelines.html")</f>
        <v>https://www.mymotherlode.com/news/national/3470104/more-beans-and-less-red-meat-nutritionists-weigh-in-on-us-dietary-guidelines.html</v>
      </c>
      <c r="C3381" s="2" t="s">
        <v>2096</v>
      </c>
      <c r="D3381" s="3">
        <v>45636.628831018519</v>
      </c>
      <c r="E3381" s="2" t="s">
        <v>38</v>
      </c>
    </row>
    <row r="3382" spans="1:5" ht="70" x14ac:dyDescent="0.2">
      <c r="A3382" s="2" t="s">
        <v>122</v>
      </c>
      <c r="B3382" s="2" t="str">
        <f>HYPERLINK("https://www.heraldbulletin.com/news/nation_world/more-beans-and-less-red-meat-nutritionists-weigh-in-on-us-dietary-guidelines/article_11f8baa3-0b51-52c6-97a3-49e63cfcbfca.html")</f>
        <v>https://www.heraldbulletin.com/news/nation_world/more-beans-and-less-red-meat-nutritionists-weigh-in-on-us-dietary-guidelines/article_11f8baa3-0b51-52c6-97a3-49e63cfcbfca.html</v>
      </c>
      <c r="C3382" s="2" t="s">
        <v>1693</v>
      </c>
      <c r="D3382" s="3">
        <v>45636.629351851851</v>
      </c>
      <c r="E3382" s="2" t="s">
        <v>38</v>
      </c>
    </row>
    <row r="3383" spans="1:5" ht="42" x14ac:dyDescent="0.2">
      <c r="A3383" s="2" t="s">
        <v>122</v>
      </c>
      <c r="B3383" s="2" t="str">
        <f>HYPERLINK("https://www.detroitnews.com/story/life/wellness/2024/12/10/nutritionists-us-dietary-guidelines/76895267007/")</f>
        <v>https://www.detroitnews.com/story/life/wellness/2024/12/10/nutritionists-us-dietary-guidelines/76895267007/</v>
      </c>
      <c r="C3383" s="2" t="s">
        <v>3191</v>
      </c>
      <c r="D3383" s="3">
        <v>45636.629710648151</v>
      </c>
      <c r="E3383" s="2" t="s">
        <v>38</v>
      </c>
    </row>
    <row r="3384" spans="1:5" ht="42" x14ac:dyDescent="0.2">
      <c r="A3384" s="2" t="s">
        <v>122</v>
      </c>
      <c r="B3384" s="2" t="str">
        <f>HYPERLINK("https://www.gwcommonwealth.com/more-beans-and-less-red-meat-nutritionists-weigh-us-dietary-guidelines")</f>
        <v>https://www.gwcommonwealth.com/more-beans-and-less-red-meat-nutritionists-weigh-us-dietary-guidelines</v>
      </c>
      <c r="C3384" s="2" t="s">
        <v>1673</v>
      </c>
      <c r="D3384" s="3">
        <v>45636.629895833343</v>
      </c>
      <c r="E3384" s="2" t="s">
        <v>38</v>
      </c>
    </row>
    <row r="3385" spans="1:5" ht="56" x14ac:dyDescent="0.2">
      <c r="A3385" s="2" t="s">
        <v>963</v>
      </c>
      <c r="B3385" s="2" t="str">
        <f>HYPERLINK("https://www.wfxrtv.com/news/national/ap-more-beans-and-less-red-meat-nutritionists-weigh-in-on-us-dietary-guidelines/")</f>
        <v>https://www.wfxrtv.com/news/national/ap-more-beans-and-less-red-meat-nutritionists-weigh-in-on-us-dietary-guidelines/</v>
      </c>
      <c r="C3385" s="2" t="s">
        <v>2279</v>
      </c>
      <c r="D3385" s="3">
        <v>45636.63008101852</v>
      </c>
      <c r="E3385" s="2" t="s">
        <v>38</v>
      </c>
    </row>
    <row r="3386" spans="1:5" ht="42" x14ac:dyDescent="0.2">
      <c r="A3386" s="2" t="s">
        <v>122</v>
      </c>
      <c r="B3386" s="2" t="str">
        <f>HYPERLINK("https://www.starherald.net/more-beans-and-less-red-meat-nutritionists-weigh-us-dietary-guidelines-0")</f>
        <v>https://www.starherald.net/more-beans-and-less-red-meat-nutritionists-weigh-us-dietary-guidelines-0</v>
      </c>
      <c r="C3386" s="2" t="s">
        <v>829</v>
      </c>
      <c r="D3386" s="3">
        <v>45636.630289351851</v>
      </c>
      <c r="E3386" s="2" t="s">
        <v>38</v>
      </c>
    </row>
    <row r="3387" spans="1:5" ht="70" x14ac:dyDescent="0.2">
      <c r="A3387" s="2" t="s">
        <v>122</v>
      </c>
      <c r="B3387" s="2" t="str">
        <f>HYPERLINK("https://santamariatimes.com/ap/lifestyles/more-beans-and-less-red-meat-nutritionists-weigh-in-on-us-dietary-guidelines/article_cd40d463-153b-5334-875f-b190a68cb8db.html")</f>
        <v>https://santamariatimes.com/ap/lifestyles/more-beans-and-less-red-meat-nutritionists-weigh-in-on-us-dietary-guidelines/article_cd40d463-153b-5334-875f-b190a68cb8db.html</v>
      </c>
      <c r="C3387" s="2" t="s">
        <v>1802</v>
      </c>
      <c r="D3387" s="3">
        <v>45636.630833333344</v>
      </c>
      <c r="E3387" s="2" t="s">
        <v>38</v>
      </c>
    </row>
    <row r="3388" spans="1:5" ht="56" x14ac:dyDescent="0.2">
      <c r="A3388" s="2" t="s">
        <v>122</v>
      </c>
      <c r="B3388" s="2" t="str">
        <f>HYPERLINK("https://www.vancouverisawesome.com/the-mix/more-beans-and-less-red-meat-nutritionists-weigh-in-on-us-dietary-guidelines-9934888")</f>
        <v>https://www.vancouverisawesome.com/the-mix/more-beans-and-less-red-meat-nutritionists-weigh-in-on-us-dietary-guidelines-9934888</v>
      </c>
      <c r="C3388" s="2" t="s">
        <v>2927</v>
      </c>
      <c r="D3388" s="3">
        <v>45636.630844907413</v>
      </c>
      <c r="E3388" s="2" t="s">
        <v>38</v>
      </c>
    </row>
    <row r="3389" spans="1:5" ht="56" x14ac:dyDescent="0.2">
      <c r="A3389" s="2" t="s">
        <v>122</v>
      </c>
      <c r="B3389" s="2" t="str">
        <f>HYPERLINK("https://www.vancouverisawesome.com/health/more-beans-and-less-red-meat-nutritionists-weigh-in-on-us-dietary-guidelines-9934906")</f>
        <v>https://www.vancouverisawesome.com/health/more-beans-and-less-red-meat-nutritionists-weigh-in-on-us-dietary-guidelines-9934906</v>
      </c>
      <c r="C3389" s="2" t="s">
        <v>2927</v>
      </c>
      <c r="D3389" s="3">
        <v>45636.630891203713</v>
      </c>
      <c r="E3389" s="2" t="s">
        <v>38</v>
      </c>
    </row>
    <row r="3390" spans="1:5" ht="42" x14ac:dyDescent="0.2">
      <c r="A3390" s="2" t="s">
        <v>122</v>
      </c>
      <c r="B3390" s="2" t="str">
        <f>HYPERLINK("https://www.pressregister.com/more-beans-and-less-red-meat-nutritionists-weigh-us-dietary-guidelines-1")</f>
        <v>https://www.pressregister.com/more-beans-and-less-red-meat-nutritionists-weigh-us-dietary-guidelines-1</v>
      </c>
      <c r="C3390" s="2" t="s">
        <v>962</v>
      </c>
      <c r="D3390" s="3">
        <v>45636.630914351852</v>
      </c>
      <c r="E3390" s="2" t="s">
        <v>38</v>
      </c>
    </row>
    <row r="3391" spans="1:5" ht="56" x14ac:dyDescent="0.2">
      <c r="A3391" s="2" t="s">
        <v>122</v>
      </c>
      <c r="B3391" s="2" t="str">
        <f>HYPERLINK("https://www.enterprise-tocsin.com/more-beans-and-less-red-meat-nutritionists-weigh-us-dietary-guidelines-0")</f>
        <v>https://www.enterprise-tocsin.com/more-beans-and-less-red-meat-nutritionists-weigh-us-dietary-guidelines-0</v>
      </c>
      <c r="C3391" s="2" t="s">
        <v>769</v>
      </c>
      <c r="D3391" s="3">
        <v>45636.631782407407</v>
      </c>
      <c r="E3391" s="2" t="s">
        <v>38</v>
      </c>
    </row>
    <row r="3392" spans="1:5" ht="42" x14ac:dyDescent="0.2">
      <c r="A3392" s="2" t="s">
        <v>122</v>
      </c>
      <c r="B3392" s="2" t="str">
        <f>HYPERLINK("https://abcnews.go.com/Health/wireStory/beans-red-meat-nutritionists-weigh-us-dietary-guidelines-116653044")</f>
        <v>https://abcnews.go.com/Health/wireStory/beans-red-meat-nutritionists-weigh-us-dietary-guidelines-116653044</v>
      </c>
      <c r="C3392" s="2" t="s">
        <v>3622</v>
      </c>
      <c r="D3392" s="3">
        <v>45636.632291666669</v>
      </c>
      <c r="E3392" s="2" t="s">
        <v>38</v>
      </c>
    </row>
    <row r="3393" spans="1:5" ht="42" x14ac:dyDescent="0.2">
      <c r="A3393" s="2" t="s">
        <v>122</v>
      </c>
      <c r="B3393" s="2" t="str">
        <f>HYPERLINK("https://www.tallahatchienews.ms/more-beans-and-less-red-meat-nutritionists-weigh-us-dietary-guidelines")</f>
        <v>https://www.tallahatchienews.ms/more-beans-and-less-red-meat-nutritionists-weigh-us-dietary-guidelines</v>
      </c>
      <c r="C3393" s="2" t="s">
        <v>688</v>
      </c>
      <c r="D3393" s="3">
        <v>45636.6328125</v>
      </c>
      <c r="E3393" s="2" t="s">
        <v>38</v>
      </c>
    </row>
    <row r="3394" spans="1:5" ht="56" x14ac:dyDescent="0.2">
      <c r="A3394" s="2" t="s">
        <v>122</v>
      </c>
      <c r="B3394" s="2" t="str">
        <f>HYPERLINK("https://www.timescolonist.com/the-mix/more-beans-and-less-red-meat-nutritionists-weigh-in-on-us-dietary-guidelines-9934888")</f>
        <v>https://www.timescolonist.com/the-mix/more-beans-and-less-red-meat-nutritionists-weigh-in-on-us-dietary-guidelines-9934888</v>
      </c>
      <c r="C3394" s="2" t="s">
        <v>2860</v>
      </c>
      <c r="D3394" s="3">
        <v>45636.632835648154</v>
      </c>
      <c r="E3394" s="2" t="s">
        <v>38</v>
      </c>
    </row>
    <row r="3395" spans="1:5" ht="56" x14ac:dyDescent="0.2">
      <c r="A3395" s="2" t="s">
        <v>122</v>
      </c>
      <c r="B3395" s="2" t="str">
        <f>HYPERLINK("https://www.princegeorgecitizen.com/the-mix/more-beans-and-less-red-meat-nutritionists-weigh-in-on-us-dietary-guidelines-9934888")</f>
        <v>https://www.princegeorgecitizen.com/the-mix/more-beans-and-less-red-meat-nutritionists-weigh-in-on-us-dietary-guidelines-9934888</v>
      </c>
      <c r="C3395" s="2" t="s">
        <v>2290</v>
      </c>
      <c r="D3395" s="3">
        <v>45636.633298611108</v>
      </c>
      <c r="E3395" s="2" t="s">
        <v>38</v>
      </c>
    </row>
    <row r="3396" spans="1:5" ht="42" x14ac:dyDescent="0.2">
      <c r="A3396" s="2" t="s">
        <v>1389</v>
      </c>
      <c r="B3396" s="2" t="str">
        <f>HYPERLINK("https://nybreaking.com/more-beans-and-less-red-meat-nutritionists-weigh-in-on-us-dietary-guidelines/")</f>
        <v>https://nybreaking.com/more-beans-and-less-red-meat-nutritionists-weigh-in-on-us-dietary-guidelines/</v>
      </c>
      <c r="C3396" s="2" t="s">
        <v>1388</v>
      </c>
      <c r="D3396" s="3">
        <v>45636.634120370371</v>
      </c>
      <c r="E3396" s="2" t="s">
        <v>1390</v>
      </c>
    </row>
    <row r="3397" spans="1:5" ht="84" x14ac:dyDescent="0.2">
      <c r="A3397" s="2" t="s">
        <v>122</v>
      </c>
      <c r="B3397" s="2" t="str">
        <f>HYPERLINK("https://www.windstream.net/news/read/article/the_associated_press-more_beans_and_less_red_meat_nutritionists_weigh_i-ap/vendor/The%20Associated%20Press")</f>
        <v>https://www.windstream.net/news/read/article/the_associated_press-more_beans_and_less_red_meat_nutritionists_weigh_i-ap/vendor/The%20Associated%20Press</v>
      </c>
      <c r="C3397" s="2" t="s">
        <v>2260</v>
      </c>
      <c r="D3397" s="3">
        <v>45636.635254629633</v>
      </c>
      <c r="E3397" s="2" t="s">
        <v>38</v>
      </c>
    </row>
    <row r="3398" spans="1:5" ht="42" x14ac:dyDescent="0.2">
      <c r="A3398" s="2" t="s">
        <v>122</v>
      </c>
      <c r="B3398" s="2" t="str">
        <f>HYPERLINK("https://www.grenadastar.com/more-beans-and-less-red-meat-nutritionists-weigh-us-dietary-guidelines-0")</f>
        <v>https://www.grenadastar.com/more-beans-and-less-red-meat-nutritionists-weigh-us-dietary-guidelines-0</v>
      </c>
      <c r="C3398" s="2" t="s">
        <v>857</v>
      </c>
      <c r="D3398" s="3">
        <v>45636.636458333327</v>
      </c>
      <c r="E3398" s="2" t="s">
        <v>38</v>
      </c>
    </row>
    <row r="3399" spans="1:5" ht="70" x14ac:dyDescent="0.2">
      <c r="A3399" s="2" t="s">
        <v>122</v>
      </c>
      <c r="B3399" s="2" t="str">
        <f>HYPERLINK("https://www.timesunion.com/living/article/more-beans-and-less-red-meat-nutritionists-weigh-19971789.php")</f>
        <v>https://www.timesunion.com/living/article/more-beans-and-less-red-meat-nutritionists-weigh-19971789.php</v>
      </c>
      <c r="C3399" s="2" t="s">
        <v>2922</v>
      </c>
      <c r="D3399" s="3">
        <v>45636.63722222222</v>
      </c>
      <c r="E3399" s="2" t="s">
        <v>1230</v>
      </c>
    </row>
    <row r="3400" spans="1:5" ht="56" x14ac:dyDescent="0.2">
      <c r="A3400" s="2" t="s">
        <v>122</v>
      </c>
      <c r="B3400" s="2" t="str">
        <f>HYPERLINK("https://www.yourvalley.net/stories/more-beans-and-less-red-meat-nutritionists-weigh-in-on-us-dietary-guidelines,551785")</f>
        <v>https://www.yourvalley.net/stories/more-beans-and-less-red-meat-nutritionists-weigh-in-on-us-dietary-guidelines,551785</v>
      </c>
      <c r="C3400" s="2" t="s">
        <v>2130</v>
      </c>
      <c r="D3400" s="3">
        <v>45636.637511574067</v>
      </c>
      <c r="E3400" s="2" t="s">
        <v>38</v>
      </c>
    </row>
    <row r="3401" spans="1:5" ht="70" x14ac:dyDescent="0.2">
      <c r="A3401" s="2" t="s">
        <v>122</v>
      </c>
      <c r="B3401" s="2" t="str">
        <f>HYPERLINK("https://www.richmondregister.com/ap/lifestyles/more-beans-and-less-red-meat-nutritionists-weigh-in-on-us-dietary-guidelines/article_ac9596a7-7b99-5c27-a44e-17be8fa3f36f.html")</f>
        <v>https://www.richmondregister.com/ap/lifestyles/more-beans-and-less-red-meat-nutritionists-weigh-in-on-us-dietary-guidelines/article_ac9596a7-7b99-5c27-a44e-17be8fa3f36f.html</v>
      </c>
      <c r="C3401" s="2" t="s">
        <v>1305</v>
      </c>
      <c r="D3401" s="3">
        <v>45636.638703703713</v>
      </c>
      <c r="E3401" s="2" t="s">
        <v>38</v>
      </c>
    </row>
    <row r="3402" spans="1:5" ht="84" x14ac:dyDescent="0.2">
      <c r="A3402" s="2" t="s">
        <v>122</v>
      </c>
      <c r="B3402" s="2" t="str">
        <f>HYPERLINK("https://portal.tds.net/news/read/article/the_associated_press-more_beans_and_less_red_meat_nutritionists_weigh_i-ap/vendor/The%20Associated%20Press")</f>
        <v>https://portal.tds.net/news/read/article/the_associated_press-more_beans_and_less_red_meat_nutritionists_weigh_i-ap/vendor/The%20Associated%20Press</v>
      </c>
      <c r="C3402" s="2" t="s">
        <v>2084</v>
      </c>
      <c r="D3402" s="3">
        <v>45636.639143518521</v>
      </c>
      <c r="E3402" s="2" t="s">
        <v>38</v>
      </c>
    </row>
    <row r="3403" spans="1:5" ht="84" x14ac:dyDescent="0.2">
      <c r="A3403" s="2" t="s">
        <v>122</v>
      </c>
      <c r="B3403" s="2" t="str">
        <f>HYPERLINK("https://searchandnews.com/news/read/article/the_associated_press-more_beans_and_less_red_meat_nutritionists_weigh_i-ap/vendor/The%20Associated%20Press")</f>
        <v>https://searchandnews.com/news/read/article/the_associated_press-more_beans_and_less_red_meat_nutritionists_weigh_i-ap/vendor/The%20Associated%20Press</v>
      </c>
      <c r="C3403" s="2" t="s">
        <v>1252</v>
      </c>
      <c r="D3403" s="3">
        <v>45636.641446759262</v>
      </c>
      <c r="E3403" s="2" t="s">
        <v>38</v>
      </c>
    </row>
    <row r="3404" spans="1:5" ht="84" x14ac:dyDescent="0.2">
      <c r="A3404" s="2" t="s">
        <v>122</v>
      </c>
      <c r="B3404" s="2" t="str">
        <f>HYPERLINK("https://www.woonsocketcall.com/news/national_and_world_news/more-beans-and-less-red-meat-nutritionists-weigh-in-on-us-dietary-guidelines/article_a11bd169-049f-5559-8917-0c792923bbc0.html")</f>
        <v>https://www.woonsocketcall.com/news/national_and_world_news/more-beans-and-less-red-meat-nutritionists-weigh-in-on-us-dietary-guidelines/article_a11bd169-049f-5559-8917-0c792923bbc0.html</v>
      </c>
      <c r="C3404" s="2" t="s">
        <v>978</v>
      </c>
      <c r="D3404" s="3">
        <v>45636.641458333332</v>
      </c>
      <c r="E3404" s="2" t="s">
        <v>38</v>
      </c>
    </row>
    <row r="3405" spans="1:5" ht="42" x14ac:dyDescent="0.2">
      <c r="A3405" s="2" t="s">
        <v>122</v>
      </c>
      <c r="B3405" s="2" t="str">
        <f>HYPERLINK("https://www.freedom969.com/more-beans-and-less-red-meat-nutritionists-weigh-in-on-us-dietary-guidelines/")</f>
        <v>https://www.freedom969.com/more-beans-and-less-red-meat-nutritionists-weigh-in-on-us-dietary-guidelines/</v>
      </c>
      <c r="C3405" s="2" t="s">
        <v>788</v>
      </c>
      <c r="D3405" s="3">
        <v>45636.64166666667</v>
      </c>
      <c r="E3405" s="2" t="s">
        <v>38</v>
      </c>
    </row>
    <row r="3406" spans="1:5" ht="56" x14ac:dyDescent="0.2">
      <c r="A3406" s="2" t="s">
        <v>122</v>
      </c>
      <c r="B3406" s="2" t="str">
        <f>HYPERLINK("https://www.tricitynews.com/health/more-beans-and-less-red-meat-nutritionists-weigh-in-on-us-dietary-guidelines-9934906")</f>
        <v>https://www.tricitynews.com/health/more-beans-and-less-red-meat-nutritionists-weigh-in-on-us-dietary-guidelines-9934906</v>
      </c>
      <c r="C3406" s="2" t="s">
        <v>2352</v>
      </c>
      <c r="D3406" s="3">
        <v>45636.642511574071</v>
      </c>
      <c r="E3406" s="2" t="s">
        <v>38</v>
      </c>
    </row>
    <row r="3407" spans="1:5" ht="182" x14ac:dyDescent="0.2">
      <c r="A3407" s="2" t="s">
        <v>122</v>
      </c>
      <c r="B3407" s="2" t="str">
        <f>HYPERLINK("https://www.chronicleonline.com/news/national/more-beans-and-less-red-meat-nutritionists-weigh-in-on-us-dietary-guidelines/article_95c1e46d-e714-5a75-9a86-162973d3ec11.html")</f>
        <v>https://www.chronicleonline.com/news/national/more-beans-and-less-red-meat-nutritionists-weigh-in-on-us-dietary-guidelines/article_95c1e46d-e714-5a75-9a86-162973d3ec11.html</v>
      </c>
      <c r="C3407" s="2" t="s">
        <v>2121</v>
      </c>
      <c r="D3407" s="3">
        <v>45636.648148148153</v>
      </c>
      <c r="E3407" s="2" t="s">
        <v>2122</v>
      </c>
    </row>
    <row r="3408" spans="1:5" ht="84" x14ac:dyDescent="0.2">
      <c r="A3408" s="2" t="s">
        <v>122</v>
      </c>
      <c r="B3408" s="2" t="str">
        <f>HYPERLINK("https://www.armstrongmywire.com/news/read/article/the_associated_press-more_beans_and_less_red_meat_nutritionists_weigh_i-ap/vendor/The%20Associated%20Press")</f>
        <v>https://www.armstrongmywire.com/news/read/article/the_associated_press-more_beans_and_less_red_meat_nutritionists_weigh_i-ap/vendor/The%20Associated%20Press</v>
      </c>
      <c r="C3408" s="2" t="s">
        <v>2145</v>
      </c>
      <c r="D3408" s="3">
        <v>45636.651967592603</v>
      </c>
      <c r="E3408" s="2" t="s">
        <v>38</v>
      </c>
    </row>
    <row r="3409" spans="1:5" ht="42" x14ac:dyDescent="0.2">
      <c r="A3409" s="2" t="s">
        <v>963</v>
      </c>
      <c r="B3409" s="2" t="str">
        <f>HYPERLINK("https://www.oneidadispatch.com/2024/12/10/us-dietary-guidelines/")</f>
        <v>https://www.oneidadispatch.com/2024/12/10/us-dietary-guidelines/</v>
      </c>
      <c r="C3409" s="2" t="s">
        <v>1273</v>
      </c>
      <c r="D3409" s="3">
        <v>45636.652233796303</v>
      </c>
      <c r="E3409" s="2" t="s">
        <v>38</v>
      </c>
    </row>
    <row r="3410" spans="1:5" ht="42" x14ac:dyDescent="0.2">
      <c r="A3410" s="2" t="s">
        <v>122</v>
      </c>
      <c r="B3410" s="2" t="str">
        <f>HYPERLINK("https://www.redbluffdailynews.com/2024/12/10/us-dietary-guidelines/")</f>
        <v>https://www.redbluffdailynews.com/2024/12/10/us-dietary-guidelines/</v>
      </c>
      <c r="C3410" s="2" t="s">
        <v>1397</v>
      </c>
      <c r="D3410" s="3">
        <v>45636.652233796303</v>
      </c>
      <c r="E3410" s="2" t="s">
        <v>38</v>
      </c>
    </row>
    <row r="3411" spans="1:5" ht="42" x14ac:dyDescent="0.2">
      <c r="A3411" s="2" t="s">
        <v>963</v>
      </c>
      <c r="B3411" s="2" t="str">
        <f>HYPERLINK("https://www.troyrecord.com/2024/12/10/us-dietary-guidelines/")</f>
        <v>https://www.troyrecord.com/2024/12/10/us-dietary-guidelines/</v>
      </c>
      <c r="C3411" s="2" t="s">
        <v>1426</v>
      </c>
      <c r="D3411" s="3">
        <v>45636.652233796303</v>
      </c>
      <c r="E3411" s="2" t="s">
        <v>38</v>
      </c>
    </row>
    <row r="3412" spans="1:5" ht="42" x14ac:dyDescent="0.2">
      <c r="A3412" s="2" t="s">
        <v>963</v>
      </c>
      <c r="B3412" s="2" t="str">
        <f>HYPERLINK("https://www.saratogian.com/2024/12/10/us-dietary-guidelines/")</f>
        <v>https://www.saratogian.com/2024/12/10/us-dietary-guidelines/</v>
      </c>
      <c r="C3412" s="2" t="s">
        <v>1539</v>
      </c>
      <c r="D3412" s="3">
        <v>45636.652233796303</v>
      </c>
      <c r="E3412" s="2" t="s">
        <v>38</v>
      </c>
    </row>
    <row r="3413" spans="1:5" ht="42" x14ac:dyDescent="0.2">
      <c r="A3413" s="2" t="s">
        <v>963</v>
      </c>
      <c r="B3413" s="2" t="str">
        <f>HYPERLINK("https://www.timesherald.com/2024/12/10/us-dietary-guidelines/")</f>
        <v>https://www.timesherald.com/2024/12/10/us-dietary-guidelines/</v>
      </c>
      <c r="C3413" s="2" t="s">
        <v>1572</v>
      </c>
      <c r="D3413" s="3">
        <v>45636.652233796303</v>
      </c>
      <c r="E3413" s="2" t="s">
        <v>38</v>
      </c>
    </row>
    <row r="3414" spans="1:5" ht="42" x14ac:dyDescent="0.2">
      <c r="A3414" s="2" t="s">
        <v>963</v>
      </c>
      <c r="B3414" s="2" t="str">
        <f>HYPERLINK("https://www.thereporteronline.com/2024/12/10/us-dietary-guidelines/")</f>
        <v>https://www.thereporteronline.com/2024/12/10/us-dietary-guidelines/</v>
      </c>
      <c r="C3414" s="2" t="s">
        <v>1804</v>
      </c>
      <c r="D3414" s="3">
        <v>45636.652233796303</v>
      </c>
      <c r="E3414" s="2" t="s">
        <v>38</v>
      </c>
    </row>
    <row r="3415" spans="1:5" ht="42" x14ac:dyDescent="0.2">
      <c r="A3415" s="2" t="s">
        <v>122</v>
      </c>
      <c r="B3415" s="2" t="str">
        <f>HYPERLINK("https://www.dailydemocrat.com/2024/12/10/us-dietary-guidelines/")</f>
        <v>https://www.dailydemocrat.com/2024/12/10/us-dietary-guidelines/</v>
      </c>
      <c r="C3415" s="2" t="s">
        <v>1814</v>
      </c>
      <c r="D3415" s="3">
        <v>45636.652233796303</v>
      </c>
      <c r="E3415" s="2" t="s">
        <v>38</v>
      </c>
    </row>
    <row r="3416" spans="1:5" ht="42" x14ac:dyDescent="0.2">
      <c r="A3416" s="2" t="s">
        <v>122</v>
      </c>
      <c r="B3416" s="2" t="str">
        <f>HYPERLINK("https://www.reporterherald.com/2024/12/10/us-dietary-guidelines/")</f>
        <v>https://www.reporterherald.com/2024/12/10/us-dietary-guidelines/</v>
      </c>
      <c r="C3416" s="2" t="s">
        <v>1903</v>
      </c>
      <c r="D3416" s="3">
        <v>45636.652233796303</v>
      </c>
      <c r="E3416" s="2" t="s">
        <v>38</v>
      </c>
    </row>
    <row r="3417" spans="1:5" ht="42" x14ac:dyDescent="0.2">
      <c r="A3417" s="2" t="s">
        <v>963</v>
      </c>
      <c r="B3417" s="2" t="str">
        <f>HYPERLINK("https://www.pottsmerc.com/2024/12/10/us-dietary-guidelines/")</f>
        <v>https://www.pottsmerc.com/2024/12/10/us-dietary-guidelines/</v>
      </c>
      <c r="C3417" s="2" t="s">
        <v>1925</v>
      </c>
      <c r="D3417" s="3">
        <v>45636.652233796303</v>
      </c>
      <c r="E3417" s="2" t="s">
        <v>38</v>
      </c>
    </row>
    <row r="3418" spans="1:5" ht="42" x14ac:dyDescent="0.2">
      <c r="A3418" s="2" t="s">
        <v>122</v>
      </c>
      <c r="B3418" s="2" t="str">
        <f>HYPERLINK("https://www.times-standard.com/2024/12/10/us-dietary-guidelines/")</f>
        <v>https://www.times-standard.com/2024/12/10/us-dietary-guidelines/</v>
      </c>
      <c r="C3418" s="2" t="s">
        <v>2092</v>
      </c>
      <c r="D3418" s="3">
        <v>45636.652233796303</v>
      </c>
      <c r="E3418" s="2" t="s">
        <v>38</v>
      </c>
    </row>
    <row r="3419" spans="1:5" ht="42" x14ac:dyDescent="0.2">
      <c r="A3419" s="2" t="s">
        <v>963</v>
      </c>
      <c r="B3419" s="2" t="str">
        <f>HYPERLINK("https://www.dailyfreeman.com/2024/12/10/us-dietary-guidelines/")</f>
        <v>https://www.dailyfreeman.com/2024/12/10/us-dietary-guidelines/</v>
      </c>
      <c r="C3419" s="2" t="s">
        <v>2108</v>
      </c>
      <c r="D3419" s="3">
        <v>45636.652233796303</v>
      </c>
      <c r="E3419" s="2" t="s">
        <v>38</v>
      </c>
    </row>
    <row r="3420" spans="1:5" ht="42" x14ac:dyDescent="0.2">
      <c r="A3420" s="2" t="s">
        <v>963</v>
      </c>
      <c r="B3420" s="2" t="str">
        <f>HYPERLINK("https://www.thetimes-tribune.com/2024/12/10/us-dietary-guidelines/")</f>
        <v>https://www.thetimes-tribune.com/2024/12/10/us-dietary-guidelines/</v>
      </c>
      <c r="C3420" s="2" t="s">
        <v>2156</v>
      </c>
      <c r="D3420" s="3">
        <v>45636.652233796303</v>
      </c>
      <c r="E3420" s="2" t="s">
        <v>38</v>
      </c>
    </row>
    <row r="3421" spans="1:5" ht="42" x14ac:dyDescent="0.2">
      <c r="A3421" s="2" t="s">
        <v>122</v>
      </c>
      <c r="B3421" s="2" t="str">
        <f>HYPERLINK("https://www.santacruzsentinel.com/2024/12/10/us-dietary-guidelines/")</f>
        <v>https://www.santacruzsentinel.com/2024/12/10/us-dietary-guidelines/</v>
      </c>
      <c r="C3421" s="2" t="s">
        <v>2194</v>
      </c>
      <c r="D3421" s="3">
        <v>45636.652233796303</v>
      </c>
      <c r="E3421" s="2" t="s">
        <v>38</v>
      </c>
    </row>
    <row r="3422" spans="1:5" ht="42" x14ac:dyDescent="0.2">
      <c r="A3422" s="2" t="s">
        <v>963</v>
      </c>
      <c r="B3422" s="2" t="str">
        <f>HYPERLINK("https://www.citizensvoice.com/2024/12/10/us-dietary-guidelines/")</f>
        <v>https://www.citizensvoice.com/2024/12/10/us-dietary-guidelines/</v>
      </c>
      <c r="C3422" s="2" t="s">
        <v>2240</v>
      </c>
      <c r="D3422" s="3">
        <v>45636.652233796303</v>
      </c>
      <c r="E3422" s="2" t="s">
        <v>38</v>
      </c>
    </row>
    <row r="3423" spans="1:5" ht="42" x14ac:dyDescent="0.2">
      <c r="A3423" s="2" t="s">
        <v>963</v>
      </c>
      <c r="B3423" s="2" t="str">
        <f>HYPERLINK("https://www.capitalgazette.com/2024/12/10/us-dietary-guidelines/")</f>
        <v>https://www.capitalgazette.com/2024/12/10/us-dietary-guidelines/</v>
      </c>
      <c r="C3423" s="2" t="s">
        <v>2321</v>
      </c>
      <c r="D3423" s="3">
        <v>45636.652233796303</v>
      </c>
      <c r="E3423" s="2" t="s">
        <v>38</v>
      </c>
    </row>
    <row r="3424" spans="1:5" ht="42" x14ac:dyDescent="0.2">
      <c r="A3424" s="2" t="s">
        <v>122</v>
      </c>
      <c r="B3424" s="2" t="str">
        <f>HYPERLINK("https://www.dailycamera.com/2024/12/10/us-dietary-guidelines/")</f>
        <v>https://www.dailycamera.com/2024/12/10/us-dietary-guidelines/</v>
      </c>
      <c r="C3424" s="2" t="s">
        <v>2415</v>
      </c>
      <c r="D3424" s="3">
        <v>45636.652233796303</v>
      </c>
      <c r="E3424" s="2" t="s">
        <v>38</v>
      </c>
    </row>
    <row r="3425" spans="1:5" ht="42" x14ac:dyDescent="0.2">
      <c r="A3425" s="2" t="s">
        <v>963</v>
      </c>
      <c r="B3425" s="2" t="str">
        <f>HYPERLINK("https://www.dailypress.com/2024/12/10/us-dietary-guidelines/")</f>
        <v>https://www.dailypress.com/2024/12/10/us-dietary-guidelines/</v>
      </c>
      <c r="C3425" s="2" t="s">
        <v>2417</v>
      </c>
      <c r="D3425" s="3">
        <v>45636.652233796303</v>
      </c>
      <c r="E3425" s="2" t="s">
        <v>38</v>
      </c>
    </row>
    <row r="3426" spans="1:5" ht="42" x14ac:dyDescent="0.2">
      <c r="A3426" s="2" t="s">
        <v>963</v>
      </c>
      <c r="B3426" s="2" t="str">
        <f>HYPERLINK("https://www.pilotonline.com/2024/12/10/us-dietary-guidelines/")</f>
        <v>https://www.pilotonline.com/2024/12/10/us-dietary-guidelines/</v>
      </c>
      <c r="C3426" s="2" t="s">
        <v>2744</v>
      </c>
      <c r="D3426" s="3">
        <v>45636.652233796303</v>
      </c>
      <c r="E3426" s="2" t="s">
        <v>38</v>
      </c>
    </row>
    <row r="3427" spans="1:5" ht="42" x14ac:dyDescent="0.2">
      <c r="A3427" s="2" t="s">
        <v>122</v>
      </c>
      <c r="B3427" s="2" t="str">
        <f>HYPERLINK("https://www.twincities.com/2024/12/10/us-dietary-guidelines/")</f>
        <v>https://www.twincities.com/2024/12/10/us-dietary-guidelines/</v>
      </c>
      <c r="C3427" s="2" t="s">
        <v>2844</v>
      </c>
      <c r="D3427" s="3">
        <v>45636.652233796303</v>
      </c>
      <c r="E3427" s="2" t="s">
        <v>38</v>
      </c>
    </row>
    <row r="3428" spans="1:5" ht="42" x14ac:dyDescent="0.2">
      <c r="A3428" s="2" t="s">
        <v>963</v>
      </c>
      <c r="B3428" s="2" t="str">
        <f>HYPERLINK("https://www.sun-sentinel.com/2024/12/10/us-dietary-guidelines/")</f>
        <v>https://www.sun-sentinel.com/2024/12/10/us-dietary-guidelines/</v>
      </c>
      <c r="C3428" s="2" t="s">
        <v>3043</v>
      </c>
      <c r="D3428" s="3">
        <v>45636.652233796303</v>
      </c>
      <c r="E3428" s="2" t="s">
        <v>38</v>
      </c>
    </row>
    <row r="3429" spans="1:5" ht="56" x14ac:dyDescent="0.2">
      <c r="A3429" s="2" t="s">
        <v>122</v>
      </c>
      <c r="B3429" s="2" t="str">
        <f>HYPERLINK("https://www.regionalmedianews.com/news/national/health/more-beans-and-less-red-meat-nutritionists-weigh-in-on-us-dietary-guidelines")</f>
        <v>https://www.regionalmedianews.com/news/national/health/more-beans-and-less-red-meat-nutritionists-weigh-in-on-us-dietary-guidelines</v>
      </c>
      <c r="C3429" s="2" t="s">
        <v>1107</v>
      </c>
      <c r="D3429" s="3">
        <v>45636.654166666667</v>
      </c>
      <c r="E3429" s="2" t="s">
        <v>38</v>
      </c>
    </row>
    <row r="3430" spans="1:5" ht="70" x14ac:dyDescent="0.2">
      <c r="A3430" s="2" t="s">
        <v>963</v>
      </c>
      <c r="B3430" s="2" t="str">
        <f>HYPERLINK("https://www.ottumwacourier.com/news/ap_lifestyles/more-beans-and-less-red-meat-nutritionists-weigh-in-on-us-dietary-guidelines/article_db253637-fab8-585b-ac12-3043f8587fa1.html")</f>
        <v>https://www.ottumwacourier.com/news/ap_lifestyles/more-beans-and-less-red-meat-nutritionists-weigh-in-on-us-dietary-guidelines/article_db253637-fab8-585b-ac12-3043f8587fa1.html</v>
      </c>
      <c r="C3430" s="2" t="s">
        <v>1504</v>
      </c>
      <c r="D3430" s="3">
        <v>45636.65488425926</v>
      </c>
      <c r="E3430" s="2" t="s">
        <v>38</v>
      </c>
    </row>
    <row r="3431" spans="1:5" ht="42" x14ac:dyDescent="0.2">
      <c r="A3431" s="2" t="s">
        <v>122</v>
      </c>
      <c r="B3431" s="2" t="str">
        <f>HYPERLINK("https://medicalxpress.com/news/2024-12-beans-red-meat-nutritionists-dietary.html")</f>
        <v>https://medicalxpress.com/news/2024-12-beans-red-meat-nutritionists-dietary.html</v>
      </c>
      <c r="C3431" s="2" t="s">
        <v>3063</v>
      </c>
      <c r="D3431" s="3">
        <v>45636.658761574072</v>
      </c>
      <c r="E3431" s="2" t="s">
        <v>38</v>
      </c>
    </row>
    <row r="3432" spans="1:5" ht="56" x14ac:dyDescent="0.2">
      <c r="A3432" s="2" t="s">
        <v>122</v>
      </c>
      <c r="B3432" s="2" t="str">
        <f>HYPERLINK("https://mynorthwest.com/4018204/more-beans-and-less-red-meat-nutritionists-weigh-in-on-us-dietary-guidelines/")</f>
        <v>https://mynorthwest.com/4018204/more-beans-and-less-red-meat-nutritionists-weigh-in-on-us-dietary-guidelines/</v>
      </c>
      <c r="C3432" s="2" t="s">
        <v>2912</v>
      </c>
      <c r="D3432" s="3">
        <v>45636.664594907408</v>
      </c>
      <c r="E3432" s="2" t="s">
        <v>38</v>
      </c>
    </row>
    <row r="3433" spans="1:5" ht="42" x14ac:dyDescent="0.2">
      <c r="A3433" s="2" t="s">
        <v>122</v>
      </c>
      <c r="B3433" s="2" t="str">
        <f>HYPERLINK("https://ktar.com/story/5636276/more-beans-and-less-red-meat-nutritionists-weigh-in-on-us-dietary-guidelines/")</f>
        <v>https://ktar.com/story/5636276/more-beans-and-less-red-meat-nutritionists-weigh-in-on-us-dietary-guidelines/</v>
      </c>
      <c r="C3433" s="2" t="s">
        <v>2630</v>
      </c>
      <c r="D3433" s="3">
        <v>45636.665185185193</v>
      </c>
      <c r="E3433" s="2" t="s">
        <v>38</v>
      </c>
    </row>
    <row r="3434" spans="1:5" ht="56" x14ac:dyDescent="0.2">
      <c r="A3434" s="2" t="s">
        <v>122</v>
      </c>
      <c r="B3434" s="2" t="str">
        <f>HYPERLINK("https://www.tricityrecordnm.com/articles/more-beans-and-less-red-meat-nutritionists-weigh-in-on-us-dietary-guidelines/")</f>
        <v>https://www.tricityrecordnm.com/articles/more-beans-and-less-red-meat-nutritionists-weigh-in-on-us-dietary-guidelines/</v>
      </c>
      <c r="C3434" s="2" t="s">
        <v>1734</v>
      </c>
      <c r="D3434" s="3">
        <v>45636.666805555556</v>
      </c>
      <c r="E3434" s="2" t="s">
        <v>38</v>
      </c>
    </row>
    <row r="3435" spans="1:5" ht="56" x14ac:dyDescent="0.2">
      <c r="A3435" s="2" t="s">
        <v>122</v>
      </c>
      <c r="B3435" s="2" t="str">
        <f>HYPERLINK("https://www.wdio.com/front-page/world-national/more-beans-and-less-red-meat-nutritionists-weigh-in-on-us-dietary-guidelines/")</f>
        <v>https://www.wdio.com/front-page/world-national/more-beans-and-less-red-meat-nutritionists-weigh-in-on-us-dietary-guidelines/</v>
      </c>
      <c r="C3435" s="2" t="s">
        <v>2241</v>
      </c>
      <c r="D3435" s="3">
        <v>45636.666909722233</v>
      </c>
      <c r="E3435" s="2" t="s">
        <v>38</v>
      </c>
    </row>
    <row r="3436" spans="1:5" ht="70" x14ac:dyDescent="0.2">
      <c r="A3436" s="2" t="s">
        <v>122</v>
      </c>
      <c r="B3436" s="2" t="str">
        <f>HYPERLINK("https://www.thedailystar.com/news/national/more-beans-and-less-red-meat-nutritionists-weigh-in-on-us-dietary-guidelines/article_08308b72-fe09-5905-8279-9f76bbca93d4.html")</f>
        <v>https://www.thedailystar.com/news/national/more-beans-and-less-red-meat-nutritionists-weigh-in-on-us-dietary-guidelines/article_08308b72-fe09-5905-8279-9f76bbca93d4.html</v>
      </c>
      <c r="C3436" s="2" t="s">
        <v>1801</v>
      </c>
      <c r="D3436" s="3">
        <v>45636.668368055558</v>
      </c>
      <c r="E3436" s="2" t="s">
        <v>38</v>
      </c>
    </row>
    <row r="3437" spans="1:5" ht="56" x14ac:dyDescent="0.2">
      <c r="A3437" s="2" t="s">
        <v>122</v>
      </c>
      <c r="B3437" s="2" t="str">
        <f>HYPERLINK("https://www.seattletimes.com/seattle-news/health/more-beans-and-less-red-meat-nutritionists-weigh-in-on-us-dietary-guidelines/")</f>
        <v>https://www.seattletimes.com/seattle-news/health/more-beans-and-less-red-meat-nutritionists-weigh-in-on-us-dietary-guidelines/</v>
      </c>
      <c r="C3437" s="2" t="s">
        <v>3371</v>
      </c>
      <c r="D3437" s="3">
        <v>45636.670520833337</v>
      </c>
      <c r="E3437" s="2" t="s">
        <v>38</v>
      </c>
    </row>
    <row r="3438" spans="1:5" ht="70" x14ac:dyDescent="0.2">
      <c r="A3438" s="2" t="s">
        <v>3820</v>
      </c>
      <c r="B3438" s="2" t="str">
        <f>HYPERLINK("https://the-globe.info/2024/12/10/extra-beans-and-not-more-crimson-meat-nutritionists-weigh-in-on-us-nutritional-pointers/")</f>
        <v>https://the-globe.info/2024/12/10/extra-beans-and-not-more-crimson-meat-nutritionists-weigh-in-on-us-nutritional-pointers/</v>
      </c>
      <c r="C3438" s="2" t="s">
        <v>3821</v>
      </c>
      <c r="D3438" s="3">
        <v>45636.671377314808</v>
      </c>
      <c r="E3438" s="2" t="s">
        <v>3822</v>
      </c>
    </row>
    <row r="3439" spans="1:5" ht="70" x14ac:dyDescent="0.2">
      <c r="A3439" s="2" t="s">
        <v>963</v>
      </c>
      <c r="B3439" s="2" t="str">
        <f>HYPERLINK("https://www.thecanadianpressnews.ca/health/more-beans-and-less-red-meat-nutritionists-weigh-in-on-us-dietary-guidelines/article_e134b1ac-f46b-5bc3-b97d-3513f6cf593a.html")</f>
        <v>https://www.thecanadianpressnews.ca/health/more-beans-and-less-red-meat-nutritionists-weigh-in-on-us-dietary-guidelines/article_e134b1ac-f46b-5bc3-b97d-3513f6cf593a.html</v>
      </c>
      <c r="C3439" s="2" t="s">
        <v>1737</v>
      </c>
      <c r="D3439" s="3">
        <v>45636.676249999997</v>
      </c>
      <c r="E3439" s="2" t="s">
        <v>38</v>
      </c>
    </row>
    <row r="3440" spans="1:5" ht="56" x14ac:dyDescent="0.2">
      <c r="A3440" s="2" t="s">
        <v>122</v>
      </c>
      <c r="B3440" s="2" t="str">
        <f>HYPERLINK("https://1049thesurf.com/news/030030-more-beans-and-less-red-meat-nutritionists-weigh-in-on-us-dietary-guidelines/")</f>
        <v>https://1049thesurf.com/news/030030-more-beans-and-less-red-meat-nutritionists-weigh-in-on-us-dietary-guidelines/</v>
      </c>
      <c r="C3440" s="2" t="s">
        <v>424</v>
      </c>
      <c r="D3440" s="3">
        <v>45636.67627314815</v>
      </c>
      <c r="E3440" s="2" t="s">
        <v>38</v>
      </c>
    </row>
    <row r="3441" spans="1:5" ht="56" x14ac:dyDescent="0.2">
      <c r="A3441" s="2" t="s">
        <v>122</v>
      </c>
      <c r="B3441" s="2" t="str">
        <f>HYPERLINK("https://sc103radio.com/news/030030-more-beans-and-less-red-meat-nutritionists-weigh-in-on-us-dietary-guidelines/")</f>
        <v>https://sc103radio.com/news/030030-more-beans-and-less-red-meat-nutritionists-weigh-in-on-us-dietary-guidelines/</v>
      </c>
      <c r="C3441" s="2" t="s">
        <v>482</v>
      </c>
      <c r="D3441" s="3">
        <v>45636.67627314815</v>
      </c>
      <c r="E3441" s="2" t="s">
        <v>38</v>
      </c>
    </row>
    <row r="3442" spans="1:5" ht="56" x14ac:dyDescent="0.2">
      <c r="A3442" s="2" t="s">
        <v>122</v>
      </c>
      <c r="B3442" s="2" t="str">
        <f>HYPERLINK("https://rewindcolumbus.com/news/030030-more-beans-and-less-red-meat-nutritionists-weigh-in-on-us-dietary-guidelines/")</f>
        <v>https://rewindcolumbus.com/news/030030-more-beans-and-less-red-meat-nutritionists-weigh-in-on-us-dietary-guidelines/</v>
      </c>
      <c r="C3442" s="2" t="s">
        <v>577</v>
      </c>
      <c r="D3442" s="3">
        <v>45636.67627314815</v>
      </c>
      <c r="E3442" s="2" t="s">
        <v>38</v>
      </c>
    </row>
    <row r="3443" spans="1:5" ht="56" x14ac:dyDescent="0.2">
      <c r="A3443" s="2" t="s">
        <v>122</v>
      </c>
      <c r="B3443" s="2" t="str">
        <f>HYPERLINK("https://joy1340.com/news/030030-more-beans-and-less-red-meat-nutritionists-weigh-in-on-us-dietary-guidelines/")</f>
        <v>https://joy1340.com/news/030030-more-beans-and-less-red-meat-nutritionists-weigh-in-on-us-dietary-guidelines/</v>
      </c>
      <c r="C3443" s="2" t="s">
        <v>590</v>
      </c>
      <c r="D3443" s="3">
        <v>45636.67627314815</v>
      </c>
      <c r="E3443" s="2" t="s">
        <v>38</v>
      </c>
    </row>
    <row r="3444" spans="1:5" ht="56" x14ac:dyDescent="0.2">
      <c r="A3444" s="2" t="s">
        <v>122</v>
      </c>
      <c r="B3444" s="2" t="str">
        <f>HYPERLINK("https://mymix1079.com/news/030030-more-beans-and-less-red-meat-nutritionists-weigh-in-on-us-dietary-guidelines/")</f>
        <v>https://mymix1079.com/news/030030-more-beans-and-less-red-meat-nutritionists-weigh-in-on-us-dietary-guidelines/</v>
      </c>
      <c r="C3444" s="2" t="s">
        <v>624</v>
      </c>
      <c r="D3444" s="3">
        <v>45636.67627314815</v>
      </c>
      <c r="E3444" s="2" t="s">
        <v>38</v>
      </c>
    </row>
    <row r="3445" spans="1:5" ht="42" x14ac:dyDescent="0.2">
      <c r="A3445" s="2" t="s">
        <v>122</v>
      </c>
      <c r="B3445" s="2" t="str">
        <f>HYPERLINK("https://qfm96.com/news/030030-more-beans-and-less-red-meat-nutritionists-weigh-in-on-us-dietary-guidelines/")</f>
        <v>https://qfm96.com/news/030030-more-beans-and-less-red-meat-nutritionists-weigh-in-on-us-dietary-guidelines/</v>
      </c>
      <c r="C3445" s="2" t="s">
        <v>1006</v>
      </c>
      <c r="D3445" s="3">
        <v>45636.67627314815</v>
      </c>
      <c r="E3445" s="2" t="s">
        <v>38</v>
      </c>
    </row>
    <row r="3446" spans="1:5" ht="56" x14ac:dyDescent="0.2">
      <c r="A3446" s="2" t="s">
        <v>122</v>
      </c>
      <c r="B3446" s="2" t="str">
        <f>HYPERLINK("https://1069thefox.com/news/030030-more-beans-and-less-red-meat-nutritionists-weigh-in-on-us-dietary-guidelines/")</f>
        <v>https://1069thefox.com/news/030030-more-beans-and-less-red-meat-nutritionists-weigh-in-on-us-dietary-guidelines/</v>
      </c>
      <c r="C3446" s="2" t="s">
        <v>1027</v>
      </c>
      <c r="D3446" s="3">
        <v>45636.67627314815</v>
      </c>
      <c r="E3446" s="2" t="s">
        <v>38</v>
      </c>
    </row>
    <row r="3447" spans="1:5" ht="42" x14ac:dyDescent="0.2">
      <c r="A3447" s="2" t="s">
        <v>122</v>
      </c>
      <c r="B3447" s="2" t="str">
        <f>HYPERLINK("https://wklh.com/news/030030-more-beans-and-less-red-meat-nutritionists-weigh-in-on-us-dietary-guidelines/")</f>
        <v>https://wklh.com/news/030030-more-beans-and-less-red-meat-nutritionists-weigh-in-on-us-dietary-guidelines/</v>
      </c>
      <c r="C3447" s="2" t="s">
        <v>1100</v>
      </c>
      <c r="D3447" s="3">
        <v>45636.67627314815</v>
      </c>
      <c r="E3447" s="2" t="s">
        <v>38</v>
      </c>
    </row>
    <row r="3448" spans="1:5" ht="56" x14ac:dyDescent="0.2">
      <c r="A3448" s="2" t="s">
        <v>122</v>
      </c>
      <c r="B3448" s="2" t="str">
        <f>HYPERLINK("https://1029thehog.com/news/030030-more-beans-and-less-red-meat-nutritionists-weigh-in-on-us-dietary-guidelines/")</f>
        <v>https://1029thehog.com/news/030030-more-beans-and-less-red-meat-nutritionists-weigh-in-on-us-dietary-guidelines/</v>
      </c>
      <c r="C3448" s="2" t="s">
        <v>1130</v>
      </c>
      <c r="D3448" s="3">
        <v>45636.67627314815</v>
      </c>
      <c r="E3448" s="2" t="s">
        <v>38</v>
      </c>
    </row>
    <row r="3449" spans="1:5" ht="42" x14ac:dyDescent="0.2">
      <c r="A3449" s="2" t="s">
        <v>122</v>
      </c>
      <c r="B3449" s="2" t="str">
        <f>HYPERLINK("https://windfm.com/news/030030-more-beans-and-less-red-meat-nutritionists-weigh-in-on-us-dietary-guidelines/")</f>
        <v>https://windfm.com/news/030030-more-beans-and-less-red-meat-nutritionists-weigh-in-on-us-dietary-guidelines/</v>
      </c>
      <c r="C3449" s="2" t="s">
        <v>1170</v>
      </c>
      <c r="D3449" s="3">
        <v>45636.67627314815</v>
      </c>
      <c r="E3449" s="2" t="s">
        <v>38</v>
      </c>
    </row>
    <row r="3450" spans="1:5" ht="56" x14ac:dyDescent="0.2">
      <c r="A3450" s="2" t="s">
        <v>122</v>
      </c>
      <c r="B3450" s="2" t="str">
        <f>HYPERLINK("https://sunny95.com/news/030030-more-beans-and-less-red-meat-nutritionists-weigh-in-on-us-dietary-guidelines/")</f>
        <v>https://sunny95.com/news/030030-more-beans-and-less-red-meat-nutritionists-weigh-in-on-us-dietary-guidelines/</v>
      </c>
      <c r="C3450" s="2" t="s">
        <v>1186</v>
      </c>
      <c r="D3450" s="3">
        <v>45636.67627314815</v>
      </c>
      <c r="E3450" s="2" t="s">
        <v>38</v>
      </c>
    </row>
    <row r="3451" spans="1:5" ht="56" x14ac:dyDescent="0.2">
      <c r="A3451" s="2" t="s">
        <v>1377</v>
      </c>
      <c r="B3451" s="2" t="str">
        <f>HYPERLINK("https://crawfordcountynow.com/news/030030-more-beans-and-less-red-meat-nutritionists-weigh-in-on-us-dietary-guidelines/")</f>
        <v>https://crawfordcountynow.com/news/030030-more-beans-and-less-red-meat-nutritionists-weigh-in-on-us-dietary-guidelines/</v>
      </c>
      <c r="C3451" s="2" t="s">
        <v>1378</v>
      </c>
      <c r="D3451" s="3">
        <v>45636.67627314815</v>
      </c>
      <c r="E3451" s="2" t="s">
        <v>38</v>
      </c>
    </row>
    <row r="3452" spans="1:5" ht="42" x14ac:dyDescent="0.2">
      <c r="A3452" s="2" t="s">
        <v>122</v>
      </c>
      <c r="B3452" s="2" t="str">
        <f>HYPERLINK("https://fm99.com/news/030030-more-beans-and-less-red-meat-nutritionists-weigh-in-on-us-dietary-guidelines/")</f>
        <v>https://fm99.com/news/030030-more-beans-and-less-red-meat-nutritionists-weigh-in-on-us-dietary-guidelines/</v>
      </c>
      <c r="C3452" s="2" t="s">
        <v>1443</v>
      </c>
      <c r="D3452" s="3">
        <v>45636.67627314815</v>
      </c>
      <c r="E3452" s="2" t="s">
        <v>38</v>
      </c>
    </row>
    <row r="3453" spans="1:5" ht="56" x14ac:dyDescent="0.2">
      <c r="A3453" s="2" t="s">
        <v>122</v>
      </c>
      <c r="B3453" s="2" t="str">
        <f>HYPERLINK("http://rewind1077.com/news/030030-more-beans-and-less-red-meat-nutritionists-weigh-in-on-us-dietary-guidelines/")</f>
        <v>http://rewind1077.com/news/030030-more-beans-and-less-red-meat-nutritionists-weigh-in-on-us-dietary-guidelines/</v>
      </c>
      <c r="C3453" s="2" t="s">
        <v>4195</v>
      </c>
      <c r="D3453" s="3">
        <v>45636.67696759259</v>
      </c>
      <c r="E3453" s="2" t="s">
        <v>38</v>
      </c>
    </row>
    <row r="3454" spans="1:5" ht="56" x14ac:dyDescent="0.2">
      <c r="A3454" s="2" t="s">
        <v>122</v>
      </c>
      <c r="B3454" s="2" t="str">
        <f>HYPERLINK("http://pureoldies1075.com/news/030030-more-beans-and-less-red-meat-nutritionists-weigh-in-on-us-dietary-guidelines/")</f>
        <v>http://pureoldies1075.com/news/030030-more-beans-and-less-red-meat-nutritionists-weigh-in-on-us-dietary-guidelines/</v>
      </c>
      <c r="C3454" s="2" t="s">
        <v>238</v>
      </c>
      <c r="D3454" s="3">
        <v>45636.677048611113</v>
      </c>
      <c r="E3454" s="2" t="s">
        <v>38</v>
      </c>
    </row>
    <row r="3455" spans="1:5" ht="56" x14ac:dyDescent="0.2">
      <c r="A3455" s="2" t="s">
        <v>122</v>
      </c>
      <c r="B3455" s="2" t="str">
        <f>HYPERLINK("http://rewindasheville.com/news/030030-more-beans-and-less-red-meat-nutritionists-weigh-in-on-us-dietary-guidelines/")</f>
        <v>http://rewindasheville.com/news/030030-more-beans-and-less-red-meat-nutritionists-weigh-in-on-us-dietary-guidelines/</v>
      </c>
      <c r="C3455" s="2" t="s">
        <v>3967</v>
      </c>
      <c r="D3455" s="3">
        <v>45636.677604166667</v>
      </c>
      <c r="E3455" s="2" t="s">
        <v>38</v>
      </c>
    </row>
    <row r="3456" spans="1:5" ht="56" x14ac:dyDescent="0.2">
      <c r="A3456" s="2" t="s">
        <v>122</v>
      </c>
      <c r="B3456" s="2" t="str">
        <f>HYPERLINK("http://1019por.com/news/030030-more-beans-and-less-red-meat-nutritionists-weigh-in-on-us-dietary-guidelines/")</f>
        <v>http://1019por.com/news/030030-more-beans-and-less-red-meat-nutritionists-weigh-in-on-us-dietary-guidelines/</v>
      </c>
      <c r="C3456" s="2" t="s">
        <v>884</v>
      </c>
      <c r="D3456" s="3">
        <v>45636.677719907413</v>
      </c>
      <c r="E3456" s="2" t="s">
        <v>38</v>
      </c>
    </row>
    <row r="3457" spans="1:5" ht="56" x14ac:dyDescent="0.2">
      <c r="A3457" s="2" t="s">
        <v>122</v>
      </c>
      <c r="B3457" s="2" t="str">
        <f>HYPERLINK("http://bigcountry1077.com/news/030030-more-beans-and-less-red-meat-nutritionists-weigh-in-on-us-dietary-guidelines/")</f>
        <v>http://bigcountry1077.com/news/030030-more-beans-and-less-red-meat-nutritionists-weigh-in-on-us-dietary-guidelines/</v>
      </c>
      <c r="C3457" s="2" t="s">
        <v>938</v>
      </c>
      <c r="D3457" s="3">
        <v>45636.678032407413</v>
      </c>
      <c r="E3457" s="2" t="s">
        <v>38</v>
      </c>
    </row>
    <row r="3458" spans="1:5" ht="56" x14ac:dyDescent="0.2">
      <c r="A3458" s="2" t="s">
        <v>122</v>
      </c>
      <c r="B3458" s="2" t="str">
        <f>HYPERLINK("http://i100rocks.com/news/030030-more-beans-and-less-red-meat-nutritionists-weigh-in-on-us-dietary-guidelines/")</f>
        <v>http://i100rocks.com/news/030030-more-beans-and-less-red-meat-nutritionists-weigh-in-on-us-dietary-guidelines/</v>
      </c>
      <c r="C3458" s="2" t="s">
        <v>545</v>
      </c>
      <c r="D3458" s="3">
        <v>45636.678148148138</v>
      </c>
      <c r="E3458" s="2" t="s">
        <v>38</v>
      </c>
    </row>
    <row r="3459" spans="1:5" ht="42" x14ac:dyDescent="0.2">
      <c r="A3459" s="2" t="s">
        <v>122</v>
      </c>
      <c r="B3459" s="2" t="str">
        <f>HYPERLINK("http://kmit.com/news/030030-more-beans-and-less-red-meat-nutritionists-weigh-in-on-us-dietary-guidelines/")</f>
        <v>http://kmit.com/news/030030-more-beans-and-less-red-meat-nutritionists-weigh-in-on-us-dietary-guidelines/</v>
      </c>
      <c r="C3459" s="2" t="s">
        <v>834</v>
      </c>
      <c r="D3459" s="3">
        <v>45636.678900462961</v>
      </c>
      <c r="E3459" s="2" t="s">
        <v>38</v>
      </c>
    </row>
    <row r="3460" spans="1:5" ht="56" x14ac:dyDescent="0.2">
      <c r="A3460" s="2" t="s">
        <v>122</v>
      </c>
      <c r="B3460" s="2" t="str">
        <f>HYPERLINK("http://beaver1003.com/news/030030-more-beans-and-less-red-meat-nutritionists-weigh-in-on-us-dietary-guidelines/")</f>
        <v>http://beaver1003.com/news/030030-more-beans-and-less-red-meat-nutritionists-weigh-in-on-us-dietary-guidelines/</v>
      </c>
      <c r="C3460" s="2" t="s">
        <v>691</v>
      </c>
      <c r="D3460" s="3">
        <v>45636.67895833333</v>
      </c>
      <c r="E3460" s="2" t="s">
        <v>38</v>
      </c>
    </row>
    <row r="3461" spans="1:5" ht="56" x14ac:dyDescent="0.2">
      <c r="A3461" s="2" t="s">
        <v>963</v>
      </c>
      <c r="B3461" s="2" t="str">
        <f>HYPERLINK("https://kesq.com/news/2024/12/10/more-beans-and-less-red-meat-nutritionists-weigh-in-on-us-dietary-guidelines/")</f>
        <v>https://kesq.com/news/2024/12/10/more-beans-and-less-red-meat-nutritionists-weigh-in-on-us-dietary-guidelines/</v>
      </c>
      <c r="C3461" s="2" t="s">
        <v>2448</v>
      </c>
      <c r="D3461" s="3">
        <v>45636.679097222222</v>
      </c>
      <c r="E3461" s="2" t="s">
        <v>38</v>
      </c>
    </row>
    <row r="3462" spans="1:5" ht="56" x14ac:dyDescent="0.2">
      <c r="A3462" s="2" t="s">
        <v>122</v>
      </c>
      <c r="B3462" s="2" t="str">
        <f>HYPERLINK("http://literock973.com/news/030030-more-beans-and-less-red-meat-nutritionists-weigh-in-on-us-dietary-guidelines/")</f>
        <v>http://literock973.com/news/030030-more-beans-and-less-red-meat-nutritionists-weigh-in-on-us-dietary-guidelines/</v>
      </c>
      <c r="C3462" s="2" t="s">
        <v>135</v>
      </c>
      <c r="D3462" s="3">
        <v>45636.679201388892</v>
      </c>
      <c r="E3462" s="2" t="s">
        <v>38</v>
      </c>
    </row>
    <row r="3463" spans="1:5" ht="42" x14ac:dyDescent="0.2">
      <c r="A3463" s="2" t="s">
        <v>122</v>
      </c>
      <c r="B3463" s="2" t="str">
        <f>HYPERLINK("https://srnnews.com/more-beans-and-less-red-meat-nutritionists-weigh-in-on-us-dietary-guidelines/")</f>
        <v>https://srnnews.com/more-beans-and-less-red-meat-nutritionists-weigh-in-on-us-dietary-guidelines/</v>
      </c>
      <c r="C3463" s="2" t="s">
        <v>1350</v>
      </c>
      <c r="D3463" s="3">
        <v>45636.679259259261</v>
      </c>
      <c r="E3463" s="2" t="s">
        <v>38</v>
      </c>
    </row>
    <row r="3464" spans="1:5" ht="42" x14ac:dyDescent="0.2">
      <c r="A3464" s="2" t="s">
        <v>122</v>
      </c>
      <c r="B3464" s="2" t="str">
        <f>HYPERLINK("http://z951.com/news/030030-more-beans-and-less-red-meat-nutritionists-weigh-in-on-us-dietary-guidelines/")</f>
        <v>http://z951.com/news/030030-more-beans-and-less-red-meat-nutritionists-weigh-in-on-us-dietary-guidelines/</v>
      </c>
      <c r="C3464" s="2" t="s">
        <v>4020</v>
      </c>
      <c r="D3464" s="3">
        <v>45636.679328703707</v>
      </c>
      <c r="E3464" s="2" t="s">
        <v>38</v>
      </c>
    </row>
    <row r="3465" spans="1:5" ht="56" x14ac:dyDescent="0.2">
      <c r="A3465" s="2" t="s">
        <v>122</v>
      </c>
      <c r="B3465" s="2" t="str">
        <f>HYPERLINK("http://rewind925.com/news/030030-more-beans-and-less-red-meat-nutritionists-weigh-in-on-us-dietary-guidelines/")</f>
        <v>http://rewind925.com/news/030030-more-beans-and-less-red-meat-nutritionists-weigh-in-on-us-dietary-guidelines/</v>
      </c>
      <c r="C3465" s="2" t="s">
        <v>614</v>
      </c>
      <c r="D3465" s="3">
        <v>45636.679432870369</v>
      </c>
      <c r="E3465" s="2" t="s">
        <v>38</v>
      </c>
    </row>
    <row r="3466" spans="1:5" ht="42" x14ac:dyDescent="0.2">
      <c r="A3466" s="2" t="s">
        <v>122</v>
      </c>
      <c r="B3466" s="2" t="str">
        <f>HYPERLINK("http://rock102.com/news/030030-more-beans-and-less-red-meat-nutritionists-weigh-in-on-us-dietary-guidelines/")</f>
        <v>http://rock102.com/news/030030-more-beans-and-less-red-meat-nutritionists-weigh-in-on-us-dietary-guidelines/</v>
      </c>
      <c r="C3466" s="2" t="s">
        <v>792</v>
      </c>
      <c r="D3466" s="3">
        <v>45636.679479166669</v>
      </c>
      <c r="E3466" s="2" t="s">
        <v>38</v>
      </c>
    </row>
    <row r="3467" spans="1:5" ht="56" x14ac:dyDescent="0.2">
      <c r="A3467" s="2" t="s">
        <v>122</v>
      </c>
      <c r="B3467" s="2" t="str">
        <f>HYPERLINK("http://rewind943.com/news/030030-more-beans-and-less-red-meat-nutritionists-weigh-in-on-us-dietary-guidelines/")</f>
        <v>http://rewind943.com/news/030030-more-beans-and-less-red-meat-nutritionists-weigh-in-on-us-dietary-guidelines/</v>
      </c>
      <c r="C3467" s="2" t="s">
        <v>3765</v>
      </c>
      <c r="D3467" s="3">
        <v>45636.679895833331</v>
      </c>
      <c r="E3467" s="2" t="s">
        <v>38</v>
      </c>
    </row>
    <row r="3468" spans="1:5" ht="56" x14ac:dyDescent="0.2">
      <c r="A3468" s="2" t="s">
        <v>122</v>
      </c>
      <c r="B3468" s="2" t="str">
        <f>HYPERLINK("http://wyxyclassic.com/news/030030-more-beans-and-less-red-meat-nutritionists-weigh-in-on-us-dietary-guidelines/")</f>
        <v>http://wyxyclassic.com/news/030030-more-beans-and-less-red-meat-nutritionists-weigh-in-on-us-dietary-guidelines/</v>
      </c>
      <c r="C3468" s="2" t="s">
        <v>669</v>
      </c>
      <c r="D3468" s="3">
        <v>45636.680462962962</v>
      </c>
      <c r="E3468" s="2" t="s">
        <v>38</v>
      </c>
    </row>
    <row r="3469" spans="1:5" ht="42" x14ac:dyDescent="0.2">
      <c r="A3469" s="2" t="s">
        <v>122</v>
      </c>
      <c r="B3469" s="2" t="str">
        <f>HYPERLINK("http://wgan.com/news/030030-more-beans-and-less-red-meat-nutritionists-weigh-in-on-us-dietary-guidelines/")</f>
        <v>http://wgan.com/news/030030-more-beans-and-less-red-meat-nutritionists-weigh-in-on-us-dietary-guidelines/</v>
      </c>
      <c r="C3469" s="2" t="s">
        <v>1114</v>
      </c>
      <c r="D3469" s="3">
        <v>45636.682083333333</v>
      </c>
      <c r="E3469" s="2" t="s">
        <v>38</v>
      </c>
    </row>
    <row r="3470" spans="1:5" ht="56" x14ac:dyDescent="0.2">
      <c r="A3470" s="2" t="s">
        <v>1386</v>
      </c>
      <c r="B3470" s="2" t="str">
        <f>HYPERLINK("https://www.medpagetoday.com/primarycare/dietnutrition/113330")</f>
        <v>https://www.medpagetoday.com/primarycare/dietnutrition/113330</v>
      </c>
      <c r="C3470" s="2" t="s">
        <v>2835</v>
      </c>
      <c r="D3470" s="3">
        <v>45636.691122685188</v>
      </c>
      <c r="E3470" s="2" t="s">
        <v>1387</v>
      </c>
    </row>
    <row r="3471" spans="1:5" ht="42" x14ac:dyDescent="0.2">
      <c r="A3471" s="2" t="s">
        <v>122</v>
      </c>
      <c r="B3471" s="2" t="str">
        <f>HYPERLINK("http://z975.com/news/030030-more-beans-and-less-red-meat-nutritionists-weigh-in-on-us-dietary-guidelines/")</f>
        <v>http://z975.com/news/030030-more-beans-and-less-red-meat-nutritionists-weigh-in-on-us-dietary-guidelines/</v>
      </c>
      <c r="C3471" s="2" t="s">
        <v>3926</v>
      </c>
      <c r="D3471" s="3">
        <v>45636.691250000003</v>
      </c>
      <c r="E3471" s="2" t="s">
        <v>38</v>
      </c>
    </row>
    <row r="3472" spans="1:5" ht="70" x14ac:dyDescent="0.2">
      <c r="A3472" s="2" t="s">
        <v>122</v>
      </c>
      <c r="B3472" s="2" t="str">
        <f>HYPERLINK("https://dailytimes.com/news_ap/more-beans-and-less-red-meat-nutritionists-weigh-in-on-us-dietary-guidelines/article_6e6ee50f-c5d1-52d2-bc57-9ceb37e91818.html")</f>
        <v>https://dailytimes.com/news_ap/more-beans-and-less-red-meat-nutritionists-weigh-in-on-us-dietary-guidelines/article_6e6ee50f-c5d1-52d2-bc57-9ceb37e91818.html</v>
      </c>
      <c r="C3472" s="2" t="s">
        <v>1224</v>
      </c>
      <c r="D3472" s="3">
        <v>45636.70003472222</v>
      </c>
      <c r="E3472" s="2" t="s">
        <v>38</v>
      </c>
    </row>
    <row r="3473" spans="1:5" ht="56" x14ac:dyDescent="0.2">
      <c r="A3473" s="2" t="s">
        <v>292</v>
      </c>
      <c r="B3473" s="2" t="str">
        <f>HYPERLINK("https://13wham.com/news/nation-world/more-beans-and-less-red-meat-nutrition-experts-weigh-in-on-us-dietary-guidelines")</f>
        <v>https://13wham.com/news/nation-world/more-beans-and-less-red-meat-nutrition-experts-weigh-in-on-us-dietary-guidelines</v>
      </c>
      <c r="C3473" s="2" t="s">
        <v>2646</v>
      </c>
      <c r="D3473" s="3">
        <v>45636.70008101852</v>
      </c>
      <c r="E3473" s="2" t="s">
        <v>38</v>
      </c>
    </row>
    <row r="3474" spans="1:5" ht="42" x14ac:dyDescent="0.2">
      <c r="A3474" s="2" t="s">
        <v>122</v>
      </c>
      <c r="B3474" s="2" t="str">
        <f>HYPERLINK("https://www.wwaytv3.com/more-beans-and-less-red-meat-nutritionists-weigh-in-on-us-dietary-guidelines/")</f>
        <v>https://www.wwaytv3.com/more-beans-and-less-red-meat-nutritionists-weigh-in-on-us-dietary-guidelines/</v>
      </c>
      <c r="C3474" s="2" t="s">
        <v>2261</v>
      </c>
      <c r="D3474" s="3">
        <v>45636.703773148147</v>
      </c>
      <c r="E3474" s="2" t="s">
        <v>38</v>
      </c>
    </row>
    <row r="3475" spans="1:5" ht="56" x14ac:dyDescent="0.2">
      <c r="A3475" s="2" t="s">
        <v>122</v>
      </c>
      <c r="B3475" s="2" t="str">
        <f>HYPERLINK("http://theoutlawportland.com/news/030030-more-beans-and-less-red-meat-nutritionists-weigh-in-on-us-dietary-guidelines/")</f>
        <v>http://theoutlawportland.com/news/030030-more-beans-and-less-red-meat-nutritionists-weigh-in-on-us-dietary-guidelines/</v>
      </c>
      <c r="C3475" s="2" t="s">
        <v>123</v>
      </c>
      <c r="D3475" s="3">
        <v>45636.704131944447</v>
      </c>
      <c r="E3475" s="2" t="s">
        <v>38</v>
      </c>
    </row>
    <row r="3476" spans="1:5" ht="70" x14ac:dyDescent="0.2">
      <c r="A3476" s="2" t="s">
        <v>122</v>
      </c>
      <c r="B3476" s="2" t="str">
        <f>HYPERLINK("https://www.yakimaherald.com/ap/lifestyles/more-beans-and-less-red-meat-nutritionists-weigh-in-on-us-dietary-guidelines/article_9efafe3b-905a-5ff5-97cd-aa6301f48276.html")</f>
        <v>https://www.yakimaherald.com/ap/lifestyles/more-beans-and-less-red-meat-nutritionists-weigh-in-on-us-dietary-guidelines/article_9efafe3b-905a-5ff5-97cd-aa6301f48276.html</v>
      </c>
      <c r="C3476" s="2" t="s">
        <v>2326</v>
      </c>
      <c r="D3476" s="3">
        <v>45636.713564814818</v>
      </c>
      <c r="E3476" s="2" t="s">
        <v>38</v>
      </c>
    </row>
    <row r="3477" spans="1:5" ht="70" x14ac:dyDescent="0.2">
      <c r="A3477" s="2" t="s">
        <v>122</v>
      </c>
      <c r="B3477" s="2" t="str">
        <f>HYPERLINK("https://www.niagara-gazette.com/news/more-beans-and-less-red-meat-nutritionists-weigh-in-on-us-dietary-guidelines/article_f8e0ac98-b742-11ef-8bd7-fffcf9411a14.html")</f>
        <v>https://www.niagara-gazette.com/news/more-beans-and-less-red-meat-nutritionists-weigh-in-on-us-dietary-guidelines/article_f8e0ac98-b742-11ef-8bd7-fffcf9411a14.html</v>
      </c>
      <c r="C3477" s="2" t="s">
        <v>1803</v>
      </c>
      <c r="D3477" s="3">
        <v>45636.721087962957</v>
      </c>
      <c r="E3477" s="2" t="s">
        <v>38</v>
      </c>
    </row>
    <row r="3478" spans="1:5" ht="70" x14ac:dyDescent="0.2">
      <c r="A3478" s="2" t="s">
        <v>1790</v>
      </c>
      <c r="B3478" s="2" t="str">
        <f>HYPERLINK("https://www.foodnavigator-usa.com/Article/2024/12/10/dietary-guidelines-submits-final-recommendations/")</f>
        <v>https://www.foodnavigator-usa.com/Article/2024/12/10/dietary-guidelines-submits-final-recommendations/</v>
      </c>
      <c r="C3478" s="2" t="s">
        <v>1773</v>
      </c>
      <c r="D3478" s="3">
        <v>45636.729641203703</v>
      </c>
      <c r="E3478" s="2" t="s">
        <v>1791</v>
      </c>
    </row>
    <row r="3479" spans="1:5" ht="42" x14ac:dyDescent="0.2">
      <c r="A3479" s="2" t="s">
        <v>122</v>
      </c>
      <c r="B3479" s="2" t="str">
        <f>HYPERLINK("https://www.ddtonline.com/more-beans-and-less-red-meat-nutritionists-weigh-us-dietary-guidelines")</f>
        <v>https://www.ddtonline.com/more-beans-and-less-red-meat-nutritionists-weigh-us-dietary-guidelines</v>
      </c>
      <c r="C3479" s="2" t="s">
        <v>718</v>
      </c>
      <c r="D3479" s="3">
        <v>45636.730462962973</v>
      </c>
      <c r="E3479" s="2" t="s">
        <v>38</v>
      </c>
    </row>
    <row r="3480" spans="1:5" ht="56" x14ac:dyDescent="0.2">
      <c r="A3480" s="2" t="s">
        <v>1165</v>
      </c>
      <c r="B3480" s="2" t="str">
        <f>HYPERLINK("https://www.newsdirectory3.com/more-beans-and-less-red-meat-nutritionists-weigh-in-on-us-dietary-guidelines/")</f>
        <v>https://www.newsdirectory3.com/more-beans-and-less-red-meat-nutritionists-weigh-in-on-us-dietary-guidelines/</v>
      </c>
      <c r="C3480" s="2" t="s">
        <v>1159</v>
      </c>
      <c r="D3480" s="3">
        <v>45636.730486111112</v>
      </c>
      <c r="E3480" s="2" t="s">
        <v>1166</v>
      </c>
    </row>
    <row r="3481" spans="1:5" ht="56" x14ac:dyDescent="0.2">
      <c r="A3481" s="2" t="s">
        <v>122</v>
      </c>
      <c r="B3481" s="2" t="str">
        <f>HYPERLINK("https://www.oaoa.com/local-news/more-beans-and-less-red-meat-nutritionists-weigh-in-on-us-dietary-guidelines/")</f>
        <v>https://www.oaoa.com/local-news/more-beans-and-less-red-meat-nutritionists-weigh-in-on-us-dietary-guidelines/</v>
      </c>
      <c r="C3481" s="2" t="s">
        <v>1731</v>
      </c>
      <c r="D3481" s="3">
        <v>45636.732118055559</v>
      </c>
      <c r="E3481" s="2" t="s">
        <v>38</v>
      </c>
    </row>
    <row r="3482" spans="1:5" ht="56" x14ac:dyDescent="0.2">
      <c r="A3482" s="2" t="s">
        <v>292</v>
      </c>
      <c r="B3482" s="2" t="str">
        <f>HYPERLINK("https://www.regionalmedianews.com/news/national/health/more-beans-and-less-red-meat-nutrition-experts-weigh-in-on-us-dietary-guidelines")</f>
        <v>https://www.regionalmedianews.com/news/national/health/more-beans-and-less-red-meat-nutrition-experts-weigh-in-on-us-dietary-guidelines</v>
      </c>
      <c r="C3482" s="2" t="s">
        <v>1107</v>
      </c>
      <c r="D3482" s="3">
        <v>45636.737500000003</v>
      </c>
      <c r="E3482" s="2" t="s">
        <v>38</v>
      </c>
    </row>
    <row r="3483" spans="1:5" ht="56" x14ac:dyDescent="0.2">
      <c r="A3483" s="2" t="s">
        <v>1386</v>
      </c>
      <c r="B3483" s="2" t="str">
        <f>HYPERLINK("https://www.newshealth.biz/health-news/more-beans-less-red-meat-nutritionists-weigh-in-on-u-s-dietary-guidelines/")</f>
        <v>https://www.newshealth.biz/health-news/more-beans-less-red-meat-nutritionists-weigh-in-on-u-s-dietary-guidelines/</v>
      </c>
      <c r="C3483" s="2" t="s">
        <v>3968</v>
      </c>
      <c r="D3483" s="3">
        <v>45636.747835648152</v>
      </c>
      <c r="E3483" s="2" t="s">
        <v>1387</v>
      </c>
    </row>
    <row r="3484" spans="1:5" ht="56" x14ac:dyDescent="0.2">
      <c r="A3484" s="2" t="s">
        <v>4046</v>
      </c>
      <c r="B3484" s="2" t="str">
        <f>HYPERLINK("https://okvir.net/zdravlje/vise-pasulja-i-manje-crvenog-mesa-nutricionisti-razmatraju-americke-smernice-za-ishranu/")</f>
        <v>https://okvir.net/zdravlje/vise-pasulja-i-manje-crvenog-mesa-nutricionisti-razmatraju-americke-smernice-za-ishranu/</v>
      </c>
      <c r="C3484" s="2" t="s">
        <v>4047</v>
      </c>
      <c r="D3484" s="3">
        <v>45636.756944444453</v>
      </c>
      <c r="E3484" s="2" t="s">
        <v>4048</v>
      </c>
    </row>
    <row r="3485" spans="1:5" ht="42" x14ac:dyDescent="0.2">
      <c r="A3485" s="2" t="s">
        <v>963</v>
      </c>
      <c r="B3485" s="2" t="str">
        <f>HYPERLINK("https://www.bostonherald.com/2024/12/10/us-dietary-guidelines/")</f>
        <v>https://www.bostonherald.com/2024/12/10/us-dietary-guidelines/</v>
      </c>
      <c r="C3485" s="2" t="s">
        <v>2963</v>
      </c>
      <c r="D3485" s="3">
        <v>45636.757395833331</v>
      </c>
      <c r="E3485" s="2" t="s">
        <v>38</v>
      </c>
    </row>
    <row r="3486" spans="1:5" ht="42" x14ac:dyDescent="0.2">
      <c r="A3486" s="2" t="s">
        <v>122</v>
      </c>
      <c r="B3486" s="2" t="str">
        <f>HYPERLINK("https://www.eptrail.com/2024/12/10/us-dietary-guidelines/")</f>
        <v>https://www.eptrail.com/2024/12/10/us-dietary-guidelines/</v>
      </c>
      <c r="C3486" s="2" t="s">
        <v>1568</v>
      </c>
      <c r="D3486" s="3">
        <v>45636.757708333331</v>
      </c>
      <c r="E3486" s="2" t="s">
        <v>38</v>
      </c>
    </row>
    <row r="3487" spans="1:5" ht="42" x14ac:dyDescent="0.2">
      <c r="A3487" s="2" t="s">
        <v>122</v>
      </c>
      <c r="B3487" s="2" t="str">
        <f>HYPERLINK("https://www.orovillemr.com/2024/12/10/us-dietary-guidelines/")</f>
        <v>https://www.orovillemr.com/2024/12/10/us-dietary-guidelines/</v>
      </c>
      <c r="C3487" s="2" t="s">
        <v>1109</v>
      </c>
      <c r="D3487" s="3">
        <v>45636.757916666669</v>
      </c>
      <c r="E3487" s="2" t="s">
        <v>38</v>
      </c>
    </row>
    <row r="3488" spans="1:5" ht="42" x14ac:dyDescent="0.2">
      <c r="A3488" s="2" t="s">
        <v>122</v>
      </c>
      <c r="B3488" s="2" t="str">
        <f>HYPERLINK("https://www.sentinelandenterprise.com/2024/12/10/us-dietary-guidelines/")</f>
        <v>https://www.sentinelandenterprise.com/2024/12/10/us-dietary-guidelines/</v>
      </c>
      <c r="C3488" s="2" t="s">
        <v>1768</v>
      </c>
      <c r="D3488" s="3">
        <v>45636.758148148147</v>
      </c>
      <c r="E3488" s="2" t="s">
        <v>38</v>
      </c>
    </row>
    <row r="3489" spans="1:5" ht="42" x14ac:dyDescent="0.2">
      <c r="A3489" s="2" t="s">
        <v>122</v>
      </c>
      <c r="B3489" s="2" t="str">
        <f>HYPERLINK("https://www.canoncitydailyrecord.com/2024/12/10/us-dietary-guidelines/")</f>
        <v>https://www.canoncitydailyrecord.com/2024/12/10/us-dietary-guidelines/</v>
      </c>
      <c r="C3489" s="2" t="s">
        <v>1649</v>
      </c>
      <c r="D3489" s="3">
        <v>45636.758321759262</v>
      </c>
      <c r="E3489" s="2" t="s">
        <v>38</v>
      </c>
    </row>
    <row r="3490" spans="1:5" ht="42" x14ac:dyDescent="0.2">
      <c r="A3490" s="2" t="s">
        <v>122</v>
      </c>
      <c r="B3490" s="2" t="str">
        <f>HYPERLINK("https://www.broomfieldenterprise.com/2024/12/10/us-dietary-guidelines/")</f>
        <v>https://www.broomfieldenterprise.com/2024/12/10/us-dietary-guidelines/</v>
      </c>
      <c r="C3490" s="2" t="s">
        <v>1173</v>
      </c>
      <c r="D3490" s="3">
        <v>45636.758483796293</v>
      </c>
      <c r="E3490" s="2" t="s">
        <v>38</v>
      </c>
    </row>
    <row r="3491" spans="1:5" ht="42" x14ac:dyDescent="0.2">
      <c r="A3491" s="2" t="s">
        <v>122</v>
      </c>
      <c r="B3491" s="2" t="str">
        <f>HYPERLINK("https://www.coloradohometownweekly.com/2024/12/10/us-dietary-guidelines/")</f>
        <v>https://www.coloradohometownweekly.com/2024/12/10/us-dietary-guidelines/</v>
      </c>
      <c r="C3491" s="2" t="s">
        <v>1205</v>
      </c>
      <c r="D3491" s="3">
        <v>45636.758483796293</v>
      </c>
      <c r="E3491" s="2" t="s">
        <v>38</v>
      </c>
    </row>
    <row r="3492" spans="1:5" ht="42" x14ac:dyDescent="0.2">
      <c r="A3492" s="2" t="s">
        <v>963</v>
      </c>
      <c r="B3492" s="2" t="str">
        <f>HYPERLINK("https://www.sandiegouniontribune.com/2024/12/10/us-dietary-guidelines/")</f>
        <v>https://www.sandiegouniontribune.com/2024/12/10/us-dietary-guidelines/</v>
      </c>
      <c r="C3492" s="2" t="s">
        <v>3124</v>
      </c>
      <c r="D3492" s="3">
        <v>45636.758622685193</v>
      </c>
      <c r="E3492" s="2" t="s">
        <v>38</v>
      </c>
    </row>
    <row r="3493" spans="1:5" ht="42" x14ac:dyDescent="0.2">
      <c r="A3493" s="2" t="s">
        <v>122</v>
      </c>
      <c r="B3493" s="2" t="str">
        <f>HYPERLINK("https://www.record-bee.com/2024/12/10/us-dietary-guidelines/")</f>
        <v>https://www.record-bee.com/2024/12/10/us-dietary-guidelines/</v>
      </c>
      <c r="C3493" s="2" t="s">
        <v>1244</v>
      </c>
      <c r="D3493" s="3">
        <v>45636.758715277778</v>
      </c>
      <c r="E3493" s="2" t="s">
        <v>38</v>
      </c>
    </row>
    <row r="3494" spans="1:5" ht="42" x14ac:dyDescent="0.2">
      <c r="A3494" s="2" t="s">
        <v>122</v>
      </c>
      <c r="B3494" s="2" t="str">
        <f>HYPERLINK("https://www.chicoer.com/2024/12/10/us-dietary-guidelines/")</f>
        <v>https://www.chicoer.com/2024/12/10/us-dietary-guidelines/</v>
      </c>
      <c r="C3494" s="2" t="s">
        <v>1923</v>
      </c>
      <c r="D3494" s="3">
        <v>45636.758958333332</v>
      </c>
      <c r="E3494" s="2" t="s">
        <v>38</v>
      </c>
    </row>
    <row r="3495" spans="1:5" ht="42" x14ac:dyDescent="0.2">
      <c r="A3495" s="2" t="s">
        <v>122</v>
      </c>
      <c r="B3495" s="2" t="str">
        <f>HYPERLINK("https://www.akronnewsreporter.com/2024/12/10/us-dietary-guidelines/")</f>
        <v>https://www.akronnewsreporter.com/2024/12/10/us-dietary-guidelines/</v>
      </c>
      <c r="C3495" s="2" t="s">
        <v>684</v>
      </c>
      <c r="D3495" s="3">
        <v>45636.759120370371</v>
      </c>
      <c r="E3495" s="2" t="s">
        <v>38</v>
      </c>
    </row>
    <row r="3496" spans="1:5" ht="42" x14ac:dyDescent="0.2">
      <c r="A3496" s="2" t="s">
        <v>122</v>
      </c>
      <c r="B3496" s="2" t="str">
        <f>HYPERLINK("https://www.fortmorgantimes.com/2024/12/10/us-dietary-guidelines/")</f>
        <v>https://www.fortmorgantimes.com/2024/12/10/us-dietary-guidelines/</v>
      </c>
      <c r="C3496" s="2" t="s">
        <v>1275</v>
      </c>
      <c r="D3496" s="3">
        <v>45636.759247685193</v>
      </c>
      <c r="E3496" s="2" t="s">
        <v>38</v>
      </c>
    </row>
    <row r="3497" spans="1:5" ht="42" x14ac:dyDescent="0.2">
      <c r="A3497" s="2" t="s">
        <v>122</v>
      </c>
      <c r="B3497" s="2" t="str">
        <f>HYPERLINK("https://www.julesburgadvocate.com/2024/12/10/us-dietary-guidelines/")</f>
        <v>https://www.julesburgadvocate.com/2024/12/10/us-dietary-guidelines/</v>
      </c>
      <c r="C3497" s="2" t="s">
        <v>879</v>
      </c>
      <c r="D3497" s="3">
        <v>45636.759351851862</v>
      </c>
      <c r="E3497" s="2" t="s">
        <v>38</v>
      </c>
    </row>
    <row r="3498" spans="1:5" ht="42" x14ac:dyDescent="0.2">
      <c r="A3498" s="2" t="s">
        <v>963</v>
      </c>
      <c r="B3498" s="2" t="str">
        <f>HYPERLINK("https://www.standardspeaker.com/2024/12/10/us-dietary-guidelines/")</f>
        <v>https://www.standardspeaker.com/2024/12/10/us-dietary-guidelines/</v>
      </c>
      <c r="C3498" s="2" t="s">
        <v>1640</v>
      </c>
      <c r="D3498" s="3">
        <v>45636.759386574071</v>
      </c>
      <c r="E3498" s="2" t="s">
        <v>38</v>
      </c>
    </row>
    <row r="3499" spans="1:5" ht="42" x14ac:dyDescent="0.2">
      <c r="A3499" s="2" t="s">
        <v>122</v>
      </c>
      <c r="B3499" s="2" t="str">
        <f>HYPERLINK("https://www.lowellsun.com/2024/12/10/us-dietary-guidelines/")</f>
        <v>https://www.lowellsun.com/2024/12/10/us-dietary-guidelines/</v>
      </c>
      <c r="C3499" s="2" t="s">
        <v>2068</v>
      </c>
      <c r="D3499" s="3">
        <v>45636.759386574071</v>
      </c>
      <c r="E3499" s="2" t="s">
        <v>38</v>
      </c>
    </row>
    <row r="3500" spans="1:5" ht="42" x14ac:dyDescent="0.2">
      <c r="A3500" s="2" t="s">
        <v>122</v>
      </c>
      <c r="B3500" s="2" t="str">
        <f>HYPERLINK("https://www.nashobavalleyvoice.com/2024/12/10/us-dietary-guidelines/")</f>
        <v>https://www.nashobavalleyvoice.com/2024/12/10/us-dietary-guidelines/</v>
      </c>
      <c r="C3500" s="2" t="s">
        <v>317</v>
      </c>
      <c r="D3500" s="3">
        <v>45636.759583333333</v>
      </c>
      <c r="E3500" s="2" t="s">
        <v>38</v>
      </c>
    </row>
    <row r="3501" spans="1:5" ht="42" x14ac:dyDescent="0.2">
      <c r="A3501" s="2" t="s">
        <v>963</v>
      </c>
      <c r="B3501" s="2" t="str">
        <f>HYPERLINK("https://www.courant.com/2024/12/10/us-dietary-guidelines/")</f>
        <v>https://www.courant.com/2024/12/10/us-dietary-guidelines/</v>
      </c>
      <c r="C3501" s="2" t="s">
        <v>2872</v>
      </c>
      <c r="D3501" s="3">
        <v>45636.759606481479</v>
      </c>
      <c r="E3501" s="2" t="s">
        <v>38</v>
      </c>
    </row>
    <row r="3502" spans="1:5" ht="42" x14ac:dyDescent="0.2">
      <c r="A3502" s="2" t="s">
        <v>963</v>
      </c>
      <c r="B3502" s="2" t="str">
        <f>HYPERLINK("https://www.dailylocal.com/2024/12/10/us-dietary-guidelines/")</f>
        <v>https://www.dailylocal.com/2024/12/10/us-dietary-guidelines/</v>
      </c>
      <c r="C3502" s="2" t="s">
        <v>1853</v>
      </c>
      <c r="D3502" s="3">
        <v>45636.760289351849</v>
      </c>
      <c r="E3502" s="2" t="s">
        <v>38</v>
      </c>
    </row>
    <row r="3503" spans="1:5" ht="42" x14ac:dyDescent="0.2">
      <c r="A3503" s="2" t="s">
        <v>963</v>
      </c>
      <c r="B3503" s="2" t="str">
        <f>HYPERLINK("https://www.trentonian.com/2024/12/10/us-dietary-guidelines/")</f>
        <v>https://www.trentonian.com/2024/12/10/us-dietary-guidelines/</v>
      </c>
      <c r="C3503" s="2" t="s">
        <v>1941</v>
      </c>
      <c r="D3503" s="3">
        <v>45636.760613425933</v>
      </c>
      <c r="E3503" s="2" t="s">
        <v>38</v>
      </c>
    </row>
    <row r="3504" spans="1:5" ht="42" x14ac:dyDescent="0.2">
      <c r="A3504" s="2" t="s">
        <v>963</v>
      </c>
      <c r="B3504" s="2" t="str">
        <f>HYPERLINK("https://www.readingeagle.com/2024/12/10/us-dietary-guidelines/")</f>
        <v>https://www.readingeagle.com/2024/12/10/us-dietary-guidelines/</v>
      </c>
      <c r="C3504" s="2" t="s">
        <v>2305</v>
      </c>
      <c r="D3504" s="3">
        <v>45636.760682870372</v>
      </c>
      <c r="E3504" s="2" t="s">
        <v>38</v>
      </c>
    </row>
    <row r="3505" spans="1:5" ht="42" x14ac:dyDescent="0.2">
      <c r="A3505" s="2" t="s">
        <v>122</v>
      </c>
      <c r="B3505" s="2" t="str">
        <f>HYPERLINK("https://www.journal-advocate.com/2024/12/10/us-dietary-guidelines/")</f>
        <v>https://www.journal-advocate.com/2024/12/10/us-dietary-guidelines/</v>
      </c>
      <c r="C3505" s="2" t="s">
        <v>1413</v>
      </c>
      <c r="D3505" s="3">
        <v>45636.761261574073</v>
      </c>
      <c r="E3505" s="2" t="s">
        <v>38</v>
      </c>
    </row>
    <row r="3506" spans="1:5" ht="42" x14ac:dyDescent="0.2">
      <c r="A3506" s="2" t="s">
        <v>963</v>
      </c>
      <c r="B3506" s="2" t="str">
        <f>HYPERLINK("https://www.delcotimes.com/2024/12/10/us-dietary-guidelines/")</f>
        <v>https://www.delcotimes.com/2024/12/10/us-dietary-guidelines/</v>
      </c>
      <c r="C3506" s="2" t="s">
        <v>2280</v>
      </c>
      <c r="D3506" s="3">
        <v>45636.761481481481</v>
      </c>
      <c r="E3506" s="2" t="s">
        <v>38</v>
      </c>
    </row>
    <row r="3507" spans="1:5" ht="42" x14ac:dyDescent="0.2">
      <c r="A3507" s="2" t="s">
        <v>122</v>
      </c>
      <c r="B3507" s="2" t="str">
        <f>HYPERLINK("https://www.advocate-news.com/2024/12/10/us-dietary-guidelines/")</f>
        <v>https://www.advocate-news.com/2024/12/10/us-dietary-guidelines/</v>
      </c>
      <c r="C3507" s="2" t="s">
        <v>1111</v>
      </c>
      <c r="D3507" s="3">
        <v>45636.761655092603</v>
      </c>
      <c r="E3507" s="2" t="s">
        <v>38</v>
      </c>
    </row>
    <row r="3508" spans="1:5" ht="42" x14ac:dyDescent="0.2">
      <c r="A3508" s="2" t="s">
        <v>122</v>
      </c>
      <c r="B3508" s="2" t="str">
        <f>HYPERLINK("https://www.mendocinobeacon.com/2024/12/10/us-dietary-guidelines/")</f>
        <v>https://www.mendocinobeacon.com/2024/12/10/us-dietary-guidelines/</v>
      </c>
      <c r="C3508" s="2" t="s">
        <v>906</v>
      </c>
      <c r="D3508" s="3">
        <v>45636.762569444443</v>
      </c>
      <c r="E3508" s="2" t="s">
        <v>38</v>
      </c>
    </row>
    <row r="3509" spans="1:5" ht="42" x14ac:dyDescent="0.2">
      <c r="A3509" s="2" t="s">
        <v>963</v>
      </c>
      <c r="B3509" s="2" t="str">
        <f>HYPERLINK("https://www.republicanherald.com/2024/12/10/us-dietary-guidelines/")</f>
        <v>https://www.republicanherald.com/2024/12/10/us-dietary-guidelines/</v>
      </c>
      <c r="C3509" s="2" t="s">
        <v>1930</v>
      </c>
      <c r="D3509" s="3">
        <v>45636.763101851851</v>
      </c>
      <c r="E3509" s="2" t="s">
        <v>38</v>
      </c>
    </row>
    <row r="3510" spans="1:5" ht="42" x14ac:dyDescent="0.2">
      <c r="A3510" s="2" t="s">
        <v>292</v>
      </c>
      <c r="B3510" s="2" t="str">
        <f>HYPERLINK("https://www.compuserve.com/news/health/story/0001/20241210/d6a9c6f0554f279497acb5714b3032b9")</f>
        <v>https://www.compuserve.com/news/health/story/0001/20241210/d6a9c6f0554f279497acb5714b3032b9</v>
      </c>
      <c r="C3510" s="2" t="s">
        <v>1752</v>
      </c>
      <c r="D3510" s="3">
        <v>45636.76458333333</v>
      </c>
      <c r="E3510" s="2" t="s">
        <v>38</v>
      </c>
    </row>
    <row r="3511" spans="1:5" ht="70" x14ac:dyDescent="0.2">
      <c r="A3511" s="2" t="s">
        <v>292</v>
      </c>
      <c r="B3511" s="2" t="str">
        <f>HYPERLINK("https://www.guardonline.com/news/national/more-beans-and-less-red-meat-nutrition-experts-weigh-in-on-us-dietary-guidelines/article_fc1f7f8c-9a22-5576-854b-9d8d3704806a.html")</f>
        <v>https://www.guardonline.com/news/national/more-beans-and-less-red-meat-nutrition-experts-weigh-in-on-us-dietary-guidelines/article_fc1f7f8c-9a22-5576-854b-9d8d3704806a.html</v>
      </c>
      <c r="C3511" s="2" t="s">
        <v>949</v>
      </c>
      <c r="D3511" s="3">
        <v>45636.764652777783</v>
      </c>
      <c r="E3511" s="2" t="s">
        <v>38</v>
      </c>
    </row>
    <row r="3512" spans="1:5" ht="70" x14ac:dyDescent="0.2">
      <c r="A3512" s="2" t="s">
        <v>292</v>
      </c>
      <c r="B3512" s="2" t="str">
        <f>HYPERLINK("https://www.whig.com/ap/lifestyles/more-beans-and-less-red-meat-nutrition-experts-weigh-in-on-us-dietary-guidelines/article_65de0c7c-5f12-5de2-bda7-9b2f37cabd80.html")</f>
        <v>https://www.whig.com/ap/lifestyles/more-beans-and-less-red-meat-nutrition-experts-weigh-in-on-us-dietary-guidelines/article_65de0c7c-5f12-5de2-bda7-9b2f37cabd80.html</v>
      </c>
      <c r="C3512" s="2" t="s">
        <v>1588</v>
      </c>
      <c r="D3512" s="3">
        <v>45636.764652777783</v>
      </c>
      <c r="E3512" s="2" t="s">
        <v>38</v>
      </c>
    </row>
    <row r="3513" spans="1:5" ht="56" x14ac:dyDescent="0.2">
      <c r="A3513" s="2" t="s">
        <v>292</v>
      </c>
      <c r="B3513" s="2" t="str">
        <f>HYPERLINK("https://www.cbs42.com/news/health/ap-health/ap-more-beans-and-less-red-meat-nutritionists-weigh-in-on-us-dietary-guidelines/")</f>
        <v>https://www.cbs42.com/news/health/ap-health/ap-more-beans-and-less-red-meat-nutritionists-weigh-in-on-us-dietary-guidelines/</v>
      </c>
      <c r="C3513" s="2" t="s">
        <v>2472</v>
      </c>
      <c r="D3513" s="3">
        <v>45636.764652777783</v>
      </c>
      <c r="E3513" s="2" t="s">
        <v>38</v>
      </c>
    </row>
    <row r="3514" spans="1:5" ht="56" x14ac:dyDescent="0.2">
      <c r="A3514" s="2" t="s">
        <v>292</v>
      </c>
      <c r="B3514" s="2" t="str">
        <f>HYPERLINK("https://www.abc27.com/news/health/ap-health/ap-more-beans-and-less-red-meat-nutritionists-weigh-in-on-us-dietary-guidelines/")</f>
        <v>https://www.abc27.com/news/health/ap-health/ap-more-beans-and-less-red-meat-nutritionists-weigh-in-on-us-dietary-guidelines/</v>
      </c>
      <c r="C3514" s="2" t="s">
        <v>2935</v>
      </c>
      <c r="D3514" s="3">
        <v>45636.764652777783</v>
      </c>
      <c r="E3514" s="2" t="s">
        <v>38</v>
      </c>
    </row>
    <row r="3515" spans="1:5" ht="42" x14ac:dyDescent="0.2">
      <c r="A3515" s="2" t="s">
        <v>963</v>
      </c>
      <c r="B3515" s="2" t="str">
        <f>HYPERLINK("https://www.orlandosentinel.com/2024/12/10/us-dietary-guidelines/")</f>
        <v>https://www.orlandosentinel.com/2024/12/10/us-dietary-guidelines/</v>
      </c>
      <c r="C3515" s="2" t="s">
        <v>2970</v>
      </c>
      <c r="D3515" s="3">
        <v>45636.764930555553</v>
      </c>
      <c r="E3515" s="2" t="s">
        <v>38</v>
      </c>
    </row>
    <row r="3516" spans="1:5" ht="56" x14ac:dyDescent="0.2">
      <c r="A3516" s="2" t="s">
        <v>292</v>
      </c>
      <c r="B3516" s="2" t="str">
        <f>HYPERLINK("https://www.thereminder.ca/the-mix/more-beans-and-less-red-meat-nutrition-experts-weigh-in-on-us-dietary-guidelines-9934888")</f>
        <v>https://www.thereminder.ca/the-mix/more-beans-and-less-red-meat-nutrition-experts-weigh-in-on-us-dietary-guidelines-9934888</v>
      </c>
      <c r="C3516" s="2" t="s">
        <v>947</v>
      </c>
      <c r="D3516" s="3">
        <v>45636.765462962961</v>
      </c>
      <c r="E3516" s="2" t="s">
        <v>38</v>
      </c>
    </row>
    <row r="3517" spans="1:5" ht="56" x14ac:dyDescent="0.2">
      <c r="A3517" s="2" t="s">
        <v>292</v>
      </c>
      <c r="B3517" s="2" t="str">
        <f>HYPERLINK("https://www.bowenislandundercurrent.com/the-mix/more-beans-and-less-red-meat-nutrition-experts-weigh-in-on-us-dietary-guidelines-9934888")</f>
        <v>https://www.bowenislandundercurrent.com/the-mix/more-beans-and-less-red-meat-nutrition-experts-weigh-in-on-us-dietary-guidelines-9934888</v>
      </c>
      <c r="C3517" s="2" t="s">
        <v>1458</v>
      </c>
      <c r="D3517" s="3">
        <v>45636.765462962961</v>
      </c>
      <c r="E3517" s="2" t="s">
        <v>38</v>
      </c>
    </row>
    <row r="3518" spans="1:5" ht="56" x14ac:dyDescent="0.2">
      <c r="A3518" s="2" t="s">
        <v>292</v>
      </c>
      <c r="B3518" s="2" t="str">
        <f>HYPERLINK("https://www.townandcountrytoday.com/health/more-beans-and-less-red-meat-nutrition-experts-weigh-in-on-us-dietary-guidelines-9934906")</f>
        <v>https://www.townandcountrytoday.com/health/more-beans-and-less-red-meat-nutrition-experts-weigh-in-on-us-dietary-guidelines-9934906</v>
      </c>
      <c r="C3518" s="2" t="s">
        <v>1494</v>
      </c>
      <c r="D3518" s="3">
        <v>45636.765462962961</v>
      </c>
      <c r="E3518" s="2" t="s">
        <v>38</v>
      </c>
    </row>
    <row r="3519" spans="1:5" ht="56" x14ac:dyDescent="0.2">
      <c r="A3519" s="2" t="s">
        <v>292</v>
      </c>
      <c r="B3519" s="2" t="str">
        <f>HYPERLINK("https://www.fitzhugh.ca/national-lifestyle/more-beans-and-less-red-meat-nutrition-experts-weigh-in-on-us-dietary-guidelines-9935030")</f>
        <v>https://www.fitzhugh.ca/national-lifestyle/more-beans-and-less-red-meat-nutrition-experts-weigh-in-on-us-dietary-guidelines-9935030</v>
      </c>
      <c r="C3519" s="2" t="s">
        <v>1537</v>
      </c>
      <c r="D3519" s="3">
        <v>45636.765462962961</v>
      </c>
      <c r="E3519" s="2" t="s">
        <v>38</v>
      </c>
    </row>
    <row r="3520" spans="1:5" ht="56" x14ac:dyDescent="0.2">
      <c r="A3520" s="2" t="s">
        <v>292</v>
      </c>
      <c r="B3520" s="2" t="str">
        <f>HYPERLINK("https://www.prpeak.com/the-mix/more-beans-and-less-red-meat-nutrition-experts-weigh-in-on-us-dietary-guidelines-9934888")</f>
        <v>https://www.prpeak.com/the-mix/more-beans-and-less-red-meat-nutrition-experts-weigh-in-on-us-dietary-guidelines-9934888</v>
      </c>
      <c r="C3520" s="2" t="s">
        <v>1469</v>
      </c>
      <c r="D3520" s="3">
        <v>45636.765462962961</v>
      </c>
      <c r="E3520" s="2" t="s">
        <v>38</v>
      </c>
    </row>
    <row r="3521" spans="1:5" ht="56" x14ac:dyDescent="0.2">
      <c r="A3521" s="2" t="s">
        <v>292</v>
      </c>
      <c r="B3521" s="2" t="str">
        <f>HYPERLINK("https://www.lakelandtoday.ca/health/more-beans-and-less-red-meat-nutrition-experts-weigh-in-on-us-dietary-guidelines-9934906")</f>
        <v>https://www.lakelandtoday.ca/health/more-beans-and-less-red-meat-nutrition-experts-weigh-in-on-us-dietary-guidelines-9934906</v>
      </c>
      <c r="C3521" s="2" t="s">
        <v>1692</v>
      </c>
      <c r="D3521" s="3">
        <v>45636.765462962961</v>
      </c>
      <c r="E3521" s="2" t="s">
        <v>38</v>
      </c>
    </row>
    <row r="3522" spans="1:5" ht="56" x14ac:dyDescent="0.2">
      <c r="A3522" s="2" t="s">
        <v>292</v>
      </c>
      <c r="B3522" s="2" t="str">
        <f>HYPERLINK("https://www.westernwheel.ca/health/more-beans-and-less-red-meat-nutrition-experts-weigh-in-on-us-dietary-guidelines-9934906")</f>
        <v>https://www.westernwheel.ca/health/more-beans-and-less-red-meat-nutrition-experts-weigh-in-on-us-dietary-guidelines-9934906</v>
      </c>
      <c r="C3522" s="2" t="s">
        <v>2123</v>
      </c>
      <c r="D3522" s="3">
        <v>45636.765462962961</v>
      </c>
      <c r="E3522" s="2" t="s">
        <v>38</v>
      </c>
    </row>
    <row r="3523" spans="1:5" ht="56" x14ac:dyDescent="0.2">
      <c r="A3523" s="2" t="s">
        <v>292</v>
      </c>
      <c r="B3523" s="2" t="str">
        <f>HYPERLINK("https://www.rmoutlook.com/lifestyle/more-beans-and-less-red-meat-nutrition-experts-weigh-in-on-us-dietary-guidelines-9935030")</f>
        <v>https://www.rmoutlook.com/lifestyle/more-beans-and-less-red-meat-nutrition-experts-weigh-in-on-us-dietary-guidelines-9935030</v>
      </c>
      <c r="C3523" s="2" t="s">
        <v>2257</v>
      </c>
      <c r="D3523" s="3">
        <v>45636.765462962961</v>
      </c>
      <c r="E3523" s="2" t="s">
        <v>38</v>
      </c>
    </row>
    <row r="3524" spans="1:5" ht="56" x14ac:dyDescent="0.2">
      <c r="A3524" s="2" t="s">
        <v>292</v>
      </c>
      <c r="B3524" s="2" t="str">
        <f>HYPERLINK("https://www.cochraneeagle.ca/health/more-beans-and-less-red-meat-nutrition-experts-weigh-in-on-us-dietary-guidelines-9934906")</f>
        <v>https://www.cochraneeagle.ca/health/more-beans-and-less-red-meat-nutrition-experts-weigh-in-on-us-dietary-guidelines-9934906</v>
      </c>
      <c r="C3524" s="2" t="s">
        <v>3895</v>
      </c>
      <c r="D3524" s="3">
        <v>45636.765462962961</v>
      </c>
      <c r="E3524" s="2" t="s">
        <v>38</v>
      </c>
    </row>
    <row r="3525" spans="1:5" ht="56" x14ac:dyDescent="0.2">
      <c r="A3525" s="2" t="s">
        <v>292</v>
      </c>
      <c r="B3525" s="2" t="str">
        <f>HYPERLINK("https://www.kaaltv.com/news/us-world-news/more-beans-and-less-red-meat-nutrition-experts-weigh-in-on-us-dietary-guidelines/")</f>
        <v>https://www.kaaltv.com/news/us-world-news/more-beans-and-less-red-meat-nutrition-experts-weigh-in-on-us-dietary-guidelines/</v>
      </c>
      <c r="C3525" s="2" t="s">
        <v>2388</v>
      </c>
      <c r="D3525" s="3">
        <v>45636.766099537039</v>
      </c>
      <c r="E3525" s="2" t="s">
        <v>38</v>
      </c>
    </row>
    <row r="3526" spans="1:5" ht="56" x14ac:dyDescent="0.2">
      <c r="A3526" s="2" t="s">
        <v>292</v>
      </c>
      <c r="B3526" s="2" t="str">
        <f>HYPERLINK("https://www.pressdemocrat.com/article/trending/more-beans-and-less-red-meat-nutrition-experts-weigh-in-on-us-dietary-guid/")</f>
        <v>https://www.pressdemocrat.com/article/trending/more-beans-and-less-red-meat-nutrition-experts-weigh-in-on-us-dietary-guid/</v>
      </c>
      <c r="C3526" s="2" t="s">
        <v>2781</v>
      </c>
      <c r="D3526" s="3">
        <v>45636.767395833333</v>
      </c>
      <c r="E3526" s="2" t="s">
        <v>38</v>
      </c>
    </row>
    <row r="3527" spans="1:5" ht="42" x14ac:dyDescent="0.2">
      <c r="A3527" s="2" t="s">
        <v>292</v>
      </c>
      <c r="B3527" s="2" t="str">
        <f>HYPERLINK("https://wnyt.com/us-news/more-beans-and-less-red-meat-nutrition-experts-weigh-in-on-us-dietary-guidelines/")</f>
        <v>https://wnyt.com/us-news/more-beans-and-less-red-meat-nutrition-experts-weigh-in-on-us-dietary-guidelines/</v>
      </c>
      <c r="C3527" s="2" t="s">
        <v>2461</v>
      </c>
      <c r="D3527" s="3">
        <v>45636.767476851863</v>
      </c>
      <c r="E3527" s="2" t="s">
        <v>38</v>
      </c>
    </row>
    <row r="3528" spans="1:5" ht="56" x14ac:dyDescent="0.2">
      <c r="A3528" s="2" t="s">
        <v>292</v>
      </c>
      <c r="B3528" s="2" t="str">
        <f>HYPERLINK("https://www.whec.com/national-world/more-beans-and-less-red-meat-nutrition-experts-weigh-in-on-us-dietary-guidelines/")</f>
        <v>https://www.whec.com/national-world/more-beans-and-less-red-meat-nutrition-experts-weigh-in-on-us-dietary-guidelines/</v>
      </c>
      <c r="C3528" s="2" t="s">
        <v>2624</v>
      </c>
      <c r="D3528" s="3">
        <v>45636.767835648148</v>
      </c>
      <c r="E3528" s="2" t="s">
        <v>38</v>
      </c>
    </row>
    <row r="3529" spans="1:5" ht="56" x14ac:dyDescent="0.2">
      <c r="A3529" s="2" t="s">
        <v>292</v>
      </c>
      <c r="B3529" s="2" t="str">
        <f>HYPERLINK("https://www.kiro7.com/news/health/more-beans-less-red/AR44XZFZDZHWBCQGLOFD3SFTXU/")</f>
        <v>https://www.kiro7.com/news/health/more-beans-less-red/AR44XZFZDZHWBCQGLOFD3SFTXU/</v>
      </c>
      <c r="C3529" s="2" t="s">
        <v>3018</v>
      </c>
      <c r="D3529" s="3">
        <v>45636.767939814818</v>
      </c>
      <c r="E3529" s="2" t="s">
        <v>38</v>
      </c>
    </row>
    <row r="3530" spans="1:5" ht="70" x14ac:dyDescent="0.2">
      <c r="A3530" s="2" t="s">
        <v>292</v>
      </c>
      <c r="B3530" s="2" t="str">
        <f>HYPERLINK("https://www.galvnews.com/news_ap/nation/more-beans-and-less-red-meat-nutrition-experts-weigh-in-on-us-dietary-guidelines/article_5c725575-8517-526d-99fb-6279f02fb789.html")</f>
        <v>https://www.galvnews.com/news_ap/nation/more-beans-and-less-red-meat-nutrition-experts-weigh-in-on-us-dietary-guidelines/article_5c725575-8517-526d-99fb-6279f02fb789.html</v>
      </c>
      <c r="C3530" s="2" t="s">
        <v>2220</v>
      </c>
      <c r="D3530" s="3">
        <v>45636.767997685187</v>
      </c>
      <c r="E3530" s="2" t="s">
        <v>38</v>
      </c>
    </row>
    <row r="3531" spans="1:5" ht="56" x14ac:dyDescent="0.2">
      <c r="A3531" s="2" t="s">
        <v>292</v>
      </c>
      <c r="B3531" s="2" t="str">
        <f>HYPERLINK("https://www.kob.com/news/health/more-beans-and-less-red-meat-nutrition-experts-weigh-in-on-us-dietary-guidelines/")</f>
        <v>https://www.kob.com/news/health/more-beans-and-less-red-meat-nutrition-experts-weigh-in-on-us-dietary-guidelines/</v>
      </c>
      <c r="C3531" s="2" t="s">
        <v>2543</v>
      </c>
      <c r="D3531" s="3">
        <v>45636.768449074072</v>
      </c>
      <c r="E3531" s="2" t="s">
        <v>38</v>
      </c>
    </row>
    <row r="3532" spans="1:5" ht="70" x14ac:dyDescent="0.2">
      <c r="A3532" s="2" t="s">
        <v>292</v>
      </c>
      <c r="B3532" s="2" t="str">
        <f>HYPERLINK("https://www.thespec.com/life/more-beans-and-less-red-meat-nutrition-experts-weigh-in-on-us-dietary-guidelines/article_ac821b0a-927a-5e3a-885c-c28f263b287a.html")</f>
        <v>https://www.thespec.com/life/more-beans-and-less-red-meat-nutrition-experts-weigh-in-on-us-dietary-guidelines/article_ac821b0a-927a-5e3a-885c-c28f263b287a.html</v>
      </c>
      <c r="C3532" s="2" t="s">
        <v>2836</v>
      </c>
      <c r="D3532" s="3">
        <v>45636.768587962957</v>
      </c>
      <c r="E3532" s="2" t="s">
        <v>38</v>
      </c>
    </row>
    <row r="3533" spans="1:5" ht="70" x14ac:dyDescent="0.2">
      <c r="A3533" s="2" t="s">
        <v>292</v>
      </c>
      <c r="B3533" s="2" t="str">
        <f>HYPERLINK("https://www.clintonherald.com/news/national_news/more-beans-and-less-red-meat-nutrition-experts-weigh-in-on-us-dietary-guidelines/article_e995150c-a59c-50b3-abea-234981708fa1.html")</f>
        <v>https://www.clintonherald.com/news/national_news/more-beans-and-less-red-meat-nutrition-experts-weigh-in-on-us-dietary-guidelines/article_e995150c-a59c-50b3-abea-234981708fa1.html</v>
      </c>
      <c r="C3533" s="2" t="s">
        <v>1303</v>
      </c>
      <c r="D3533" s="3">
        <v>45636.769467592603</v>
      </c>
      <c r="E3533" s="2" t="s">
        <v>38</v>
      </c>
    </row>
    <row r="3534" spans="1:5" ht="70" x14ac:dyDescent="0.2">
      <c r="A3534" s="2" t="s">
        <v>292</v>
      </c>
      <c r="B3534" s="2" t="str">
        <f>HYPERLINK("https://www.thetimestribune.com/news/national_news/more-beans-and-less-red-meat-nutrition-experts-weigh-in-on-us-dietary-guidelines/article_88d15f17-cd31-503e-b7fe-665123b58c2f.html")</f>
        <v>https://www.thetimestribune.com/news/national_news/more-beans-and-less-red-meat-nutrition-experts-weigh-in-on-us-dietary-guidelines/article_88d15f17-cd31-503e-b7fe-665123b58c2f.html</v>
      </c>
      <c r="C3534" s="2" t="s">
        <v>1106</v>
      </c>
      <c r="D3534" s="3">
        <v>45636.769479166673</v>
      </c>
      <c r="E3534" s="2" t="s">
        <v>38</v>
      </c>
    </row>
    <row r="3535" spans="1:5" ht="56" x14ac:dyDescent="0.2">
      <c r="A3535" s="2" t="s">
        <v>1233</v>
      </c>
      <c r="B3535" s="2" t="str">
        <f>HYPERLINK("https://www.bdtonline.com/news/nation_world/ap-news-in-brief-at-6-04-p-m-est/article_7675bdc4-2cff-5af5-b247-425a1ddf6136.html")</f>
        <v>https://www.bdtonline.com/news/nation_world/ap-news-in-brief-at-6-04-p-m-est/article_7675bdc4-2cff-5af5-b247-425a1ddf6136.html</v>
      </c>
      <c r="C3535" s="2" t="s">
        <v>1949</v>
      </c>
      <c r="D3535" s="3">
        <v>45636.77008101852</v>
      </c>
      <c r="E3535" s="2" t="s">
        <v>38</v>
      </c>
    </row>
    <row r="3536" spans="1:5" ht="70" x14ac:dyDescent="0.2">
      <c r="A3536" s="2" t="s">
        <v>292</v>
      </c>
      <c r="B3536" s="2" t="str">
        <f>HYPERLINK("https://www.bdtonline.com/news/nation_world/more-beans-and-less-red-meat-nutrition-experts-weigh-in-on-us-dietary-guidelines/article_4be4296d-7e4f-54d4-adc2-26e471c49a7b.html")</f>
        <v>https://www.bdtonline.com/news/nation_world/more-beans-and-less-red-meat-nutrition-experts-weigh-in-on-us-dietary-guidelines/article_4be4296d-7e4f-54d4-adc2-26e471c49a7b.html</v>
      </c>
      <c r="C3536" s="2" t="s">
        <v>1949</v>
      </c>
      <c r="D3536" s="3">
        <v>45636.77034722222</v>
      </c>
      <c r="E3536" s="2" t="s">
        <v>38</v>
      </c>
    </row>
    <row r="3537" spans="1:5" ht="70" x14ac:dyDescent="0.2">
      <c r="A3537" s="2" t="s">
        <v>292</v>
      </c>
      <c r="B3537" s="2" t="str">
        <f>HYPERLINK("https://www.yumasun.com/news/national_news/more-beans-and-less-red-meat-nutrition-experts-weigh-in-on-us-dietary-guidelines/article_00057870-c362-5b01-a55b-6d816a615d86.html")</f>
        <v>https://www.yumasun.com/news/national_news/more-beans-and-less-red-meat-nutrition-experts-weigh-in-on-us-dietary-guidelines/article_00057870-c362-5b01-a55b-6d816a615d86.html</v>
      </c>
      <c r="C3537" s="2" t="s">
        <v>1232</v>
      </c>
      <c r="D3537" s="3">
        <v>45636.771377314813</v>
      </c>
      <c r="E3537" s="2" t="s">
        <v>38</v>
      </c>
    </row>
    <row r="3538" spans="1:5" ht="56" x14ac:dyDescent="0.2">
      <c r="A3538" s="2" t="s">
        <v>292</v>
      </c>
      <c r="B3538" s="2" t="str">
        <f>HYPERLINK("https://www.wdio.com/front-page/world-national/more-beans-and-less-red-meat-nutrition-experts-weigh-in-on-us-dietary-guidelines/")</f>
        <v>https://www.wdio.com/front-page/world-national/more-beans-and-less-red-meat-nutrition-experts-weigh-in-on-us-dietary-guidelines/</v>
      </c>
      <c r="C3538" s="2" t="s">
        <v>2241</v>
      </c>
      <c r="D3538" s="3">
        <v>45636.771782407413</v>
      </c>
      <c r="E3538" s="2" t="s">
        <v>38</v>
      </c>
    </row>
    <row r="3539" spans="1:5" ht="70" x14ac:dyDescent="0.2">
      <c r="A3539" s="2" t="s">
        <v>292</v>
      </c>
      <c r="B3539" s="2" t="str">
        <f>HYPERLINK("https://www.stamfordadvocate.com/living/article/more-beans-and-less-red-meat-nutritionists-weigh-19971789.php")</f>
        <v>https://www.stamfordadvocate.com/living/article/more-beans-and-less-red-meat-nutritionists-weigh-19971789.php</v>
      </c>
      <c r="C3539" s="2" t="s">
        <v>2423</v>
      </c>
      <c r="D3539" s="3">
        <v>45636.772662037038</v>
      </c>
      <c r="E3539" s="2" t="s">
        <v>1230</v>
      </c>
    </row>
    <row r="3540" spans="1:5" ht="70" x14ac:dyDescent="0.2">
      <c r="A3540" s="2" t="s">
        <v>292</v>
      </c>
      <c r="B3540" s="2" t="str">
        <f>HYPERLINK("https://gazette.com/ap/lifestyles/more-beans-and-less-red-meat-nutrition-experts-weigh-in-on-us-dietary-guidelines/article_69403a92-ec2b-5765-99bf-89f5b5ca7817.html")</f>
        <v>https://gazette.com/ap/lifestyles/more-beans-and-less-red-meat-nutrition-experts-weigh-in-on-us-dietary-guidelines/article_69403a92-ec2b-5765-99bf-89f5b5ca7817.html</v>
      </c>
      <c r="C3540" s="2" t="s">
        <v>2829</v>
      </c>
      <c r="D3540" s="3">
        <v>45636.772824074083</v>
      </c>
      <c r="E3540" s="2" t="s">
        <v>38</v>
      </c>
    </row>
    <row r="3541" spans="1:5" ht="84" x14ac:dyDescent="0.2">
      <c r="A3541" s="2" t="s">
        <v>292</v>
      </c>
      <c r="B3541" s="2" t="str">
        <f>HYPERLINK("https://www.recorderonline.com/news/national_news/more-beans-and-less-red-meat-nutrition-experts-weigh-in-on-us-dietary-guidelines/article_1d21a470-5e49-5185-8f89-3628b5db2558.html")</f>
        <v>https://www.recorderonline.com/news/national_news/more-beans-and-less-red-meat-nutrition-experts-weigh-in-on-us-dietary-guidelines/article_1d21a470-5e49-5185-8f89-3628b5db2558.html</v>
      </c>
      <c r="C3541" s="2" t="s">
        <v>1658</v>
      </c>
      <c r="D3541" s="3">
        <v>45636.772881944453</v>
      </c>
      <c r="E3541" s="2" t="s">
        <v>38</v>
      </c>
    </row>
    <row r="3542" spans="1:5" ht="56" x14ac:dyDescent="0.2">
      <c r="A3542" s="2" t="s">
        <v>1233</v>
      </c>
      <c r="B3542" s="2" t="str">
        <f>HYPERLINK("https://www.yumasun.com/news/national_news/ap-news-in-brief-at-6-04-p-m-est/article_d8b36401-1bb5-51b6-8aa1-05b7493b8f97.html")</f>
        <v>https://www.yumasun.com/news/national_news/ap-news-in-brief-at-6-04-p-m-est/article_d8b36401-1bb5-51b6-8aa1-05b7493b8f97.html</v>
      </c>
      <c r="C3542" s="2" t="s">
        <v>1232</v>
      </c>
      <c r="D3542" s="3">
        <v>45636.773900462962</v>
      </c>
      <c r="E3542" s="2" t="s">
        <v>38</v>
      </c>
    </row>
    <row r="3543" spans="1:5" ht="42" x14ac:dyDescent="0.2">
      <c r="A3543" s="2" t="s">
        <v>292</v>
      </c>
      <c r="B3543" s="2" t="str">
        <f>HYPERLINK("https://ca.style.yahoo.com/more-beans-less-red-meat-195428827.html")</f>
        <v>https://ca.style.yahoo.com/more-beans-less-red-meat-195428827.html</v>
      </c>
      <c r="C3543" s="2" t="s">
        <v>2813</v>
      </c>
      <c r="D3543" s="3">
        <v>45636.774085648147</v>
      </c>
      <c r="E3543" s="2" t="s">
        <v>38</v>
      </c>
    </row>
    <row r="3544" spans="1:5" ht="84" x14ac:dyDescent="0.2">
      <c r="A3544" s="2" t="s">
        <v>292</v>
      </c>
      <c r="B3544" s="2" t="str">
        <f>HYPERLINK("https://www.register-herald.com/news/nation_world/more-beans-and-less-red-meat-nutrition-experts-weigh-in-on-us-dietary-guidelines/article_37434de0-ff58-5566-b803-f71c3a13a03f.html")</f>
        <v>https://www.register-herald.com/news/nation_world/more-beans-and-less-red-meat-nutrition-experts-weigh-in-on-us-dietary-guidelines/article_37434de0-ff58-5566-b803-f71c3a13a03f.html</v>
      </c>
      <c r="C3544" s="2" t="s">
        <v>1795</v>
      </c>
      <c r="D3544" s="3">
        <v>45636.774212962962</v>
      </c>
      <c r="E3544" s="2" t="s">
        <v>38</v>
      </c>
    </row>
    <row r="3545" spans="1:5" ht="56" x14ac:dyDescent="0.2">
      <c r="A3545" s="2" t="s">
        <v>326</v>
      </c>
      <c r="B3545" s="2" t="str">
        <f>HYPERLINK("https://www.piquenewsmagazine.com/health/more-beans-and-less-red-meat-nutrition-experts-weigh-in-on-us-dietary-guidelines-9934906")</f>
        <v>https://www.piquenewsmagazine.com/health/more-beans-and-less-red-meat-nutrition-experts-weigh-in-on-us-dietary-guidelines-9934906</v>
      </c>
      <c r="C3545" s="2" t="s">
        <v>2072</v>
      </c>
      <c r="D3545" s="3">
        <v>45636.775868055563</v>
      </c>
      <c r="E3545" s="2" t="s">
        <v>38</v>
      </c>
    </row>
    <row r="3546" spans="1:5" ht="56" x14ac:dyDescent="0.2">
      <c r="A3546" s="2" t="s">
        <v>326</v>
      </c>
      <c r="B3546" s="2" t="str">
        <f>HYPERLINK("https://www.piquenewsmagazine.com/the-mix/more-beans-and-less-red-meat-nutrition-experts-weigh-in-on-us-dietary-guidelines-9934888")</f>
        <v>https://www.piquenewsmagazine.com/the-mix/more-beans-and-less-red-meat-nutrition-experts-weigh-in-on-us-dietary-guidelines-9934888</v>
      </c>
      <c r="C3546" s="2" t="s">
        <v>2072</v>
      </c>
      <c r="D3546" s="3">
        <v>45636.775960648149</v>
      </c>
      <c r="E3546" s="2" t="s">
        <v>38</v>
      </c>
    </row>
    <row r="3547" spans="1:5" ht="56" x14ac:dyDescent="0.2">
      <c r="A3547" s="2" t="s">
        <v>292</v>
      </c>
      <c r="B3547" s="2" t="str">
        <f>HYPERLINK("https://www.vancouverisawesome.com/the-mix/more-beans-and-less-red-meat-nutrition-experts-weigh-in-on-us-dietary-guidelines-9934888")</f>
        <v>https://www.vancouverisawesome.com/the-mix/more-beans-and-less-red-meat-nutrition-experts-weigh-in-on-us-dietary-guidelines-9934888</v>
      </c>
      <c r="C3547" s="2" t="s">
        <v>2927</v>
      </c>
      <c r="D3547" s="3">
        <v>45636.776400462957</v>
      </c>
      <c r="E3547" s="2" t="s">
        <v>38</v>
      </c>
    </row>
    <row r="3548" spans="1:5" ht="56" x14ac:dyDescent="0.2">
      <c r="A3548" s="2" t="s">
        <v>292</v>
      </c>
      <c r="B3548" s="2" t="str">
        <f>HYPERLINK("https://www.vancouverisawesome.com/health/more-beans-and-less-red-meat-nutrition-experts-weigh-in-on-us-dietary-guidelines-9934906")</f>
        <v>https://www.vancouverisawesome.com/health/more-beans-and-less-red-meat-nutrition-experts-weigh-in-on-us-dietary-guidelines-9934906</v>
      </c>
      <c r="C3548" s="2" t="s">
        <v>2927</v>
      </c>
      <c r="D3548" s="3">
        <v>45636.776400462957</v>
      </c>
      <c r="E3548" s="2" t="s">
        <v>38</v>
      </c>
    </row>
    <row r="3549" spans="1:5" ht="56" x14ac:dyDescent="0.2">
      <c r="A3549" s="2" t="s">
        <v>292</v>
      </c>
      <c r="B3549" s="2" t="str">
        <f>HYPERLINK("https://www.nsnews.com/health/more-beans-and-less-red-meat-nutrition-experts-weigh-in-on-us-dietary-guidelines-9934906")</f>
        <v>https://www.nsnews.com/health/more-beans-and-less-red-meat-nutrition-experts-weigh-in-on-us-dietary-guidelines-9934906</v>
      </c>
      <c r="C3549" s="2" t="s">
        <v>2400</v>
      </c>
      <c r="D3549" s="3">
        <v>45636.776597222219</v>
      </c>
      <c r="E3549" s="2" t="s">
        <v>38</v>
      </c>
    </row>
    <row r="3550" spans="1:5" ht="56" x14ac:dyDescent="0.2">
      <c r="A3550" s="2" t="s">
        <v>292</v>
      </c>
      <c r="B3550" s="2" t="str">
        <f>HYPERLINK("https://www.nsnews.com/the-mix/more-beans-and-less-red-meat-nutrition-experts-weigh-in-on-us-dietary-guidelines-9934888")</f>
        <v>https://www.nsnews.com/the-mix/more-beans-and-less-red-meat-nutrition-experts-weigh-in-on-us-dietary-guidelines-9934888</v>
      </c>
      <c r="C3550" s="2" t="s">
        <v>2400</v>
      </c>
      <c r="D3550" s="3">
        <v>45636.776597222219</v>
      </c>
      <c r="E3550" s="2" t="s">
        <v>38</v>
      </c>
    </row>
    <row r="3551" spans="1:5" ht="56" x14ac:dyDescent="0.2">
      <c r="A3551" s="2" t="s">
        <v>292</v>
      </c>
      <c r="B3551" s="2" t="str">
        <f>HYPERLINK("https://www.princegeorgecitizen.com/the-mix/more-beans-and-less-red-meat-nutrition-experts-weigh-in-on-us-dietary-guidelines-9934888")</f>
        <v>https://www.princegeorgecitizen.com/the-mix/more-beans-and-less-red-meat-nutrition-experts-weigh-in-on-us-dietary-guidelines-9934888</v>
      </c>
      <c r="C3551" s="2" t="s">
        <v>2290</v>
      </c>
      <c r="D3551" s="3">
        <v>45636.778171296297</v>
      </c>
      <c r="E3551" s="2" t="s">
        <v>38</v>
      </c>
    </row>
    <row r="3552" spans="1:5" ht="56" x14ac:dyDescent="0.2">
      <c r="A3552" s="2" t="s">
        <v>292</v>
      </c>
      <c r="B3552" s="2" t="str">
        <f>HYPERLINK("https://www.princegeorgecitizen.com/health/more-beans-and-less-red-meat-nutrition-experts-weigh-in-on-us-dietary-guidelines-9934906")</f>
        <v>https://www.princegeorgecitizen.com/health/more-beans-and-less-red-meat-nutrition-experts-weigh-in-on-us-dietary-guidelines-9934906</v>
      </c>
      <c r="C3552" s="2" t="s">
        <v>2290</v>
      </c>
      <c r="D3552" s="3">
        <v>45636.778171296297</v>
      </c>
      <c r="E3552" s="2" t="s">
        <v>38</v>
      </c>
    </row>
    <row r="3553" spans="1:5" ht="56" x14ac:dyDescent="0.2">
      <c r="A3553" s="2" t="s">
        <v>292</v>
      </c>
      <c r="B3553" s="2" t="str">
        <f>HYPERLINK("https://www.tricitynews.com/health/more-beans-and-less-red-meat-nutrition-experts-weigh-in-on-us-dietary-guidelines-9934906")</f>
        <v>https://www.tricitynews.com/health/more-beans-and-less-red-meat-nutrition-experts-weigh-in-on-us-dietary-guidelines-9934906</v>
      </c>
      <c r="C3553" s="2" t="s">
        <v>2352</v>
      </c>
      <c r="D3553" s="3">
        <v>45636.778946759259</v>
      </c>
      <c r="E3553" s="2" t="s">
        <v>38</v>
      </c>
    </row>
    <row r="3554" spans="1:5" ht="56" x14ac:dyDescent="0.2">
      <c r="A3554" s="2" t="s">
        <v>292</v>
      </c>
      <c r="B3554" s="2" t="str">
        <f>HYPERLINK("https://www.tricitynews.com/the-mix/more-beans-and-less-red-meat-nutrition-experts-weigh-in-on-us-dietary-guidelines-9934888")</f>
        <v>https://www.tricitynews.com/the-mix/more-beans-and-less-red-meat-nutrition-experts-weigh-in-on-us-dietary-guidelines-9934888</v>
      </c>
      <c r="C3554" s="2" t="s">
        <v>2352</v>
      </c>
      <c r="D3554" s="3">
        <v>45636.778946759259</v>
      </c>
      <c r="E3554" s="2" t="s">
        <v>38</v>
      </c>
    </row>
    <row r="3555" spans="1:5" ht="56" x14ac:dyDescent="0.2">
      <c r="A3555" s="2" t="s">
        <v>292</v>
      </c>
      <c r="B3555" s="2" t="str">
        <f>HYPERLINK("https://www.timescolonist.com/the-mix/more-beans-and-less-red-meat-nutrition-experts-weigh-in-on-us-dietary-guidelines-9934888")</f>
        <v>https://www.timescolonist.com/the-mix/more-beans-and-less-red-meat-nutrition-experts-weigh-in-on-us-dietary-guidelines-9934888</v>
      </c>
      <c r="C3555" s="2" t="s">
        <v>2860</v>
      </c>
      <c r="D3555" s="3">
        <v>45636.780127314807</v>
      </c>
      <c r="E3555" s="2" t="s">
        <v>38</v>
      </c>
    </row>
    <row r="3556" spans="1:5" ht="56" x14ac:dyDescent="0.2">
      <c r="A3556" s="2" t="s">
        <v>292</v>
      </c>
      <c r="B3556" s="2" t="str">
        <f>HYPERLINK("https://www.timescolonist.com/health/more-beans-and-less-red-meat-nutrition-experts-weigh-in-on-us-dietary-guidelines-9934906")</f>
        <v>https://www.timescolonist.com/health/more-beans-and-less-red-meat-nutrition-experts-weigh-in-on-us-dietary-guidelines-9934906</v>
      </c>
      <c r="C3556" s="2" t="s">
        <v>2860</v>
      </c>
      <c r="D3556" s="3">
        <v>45636.780138888891</v>
      </c>
      <c r="E3556" s="2" t="s">
        <v>38</v>
      </c>
    </row>
    <row r="3557" spans="1:5" ht="56" x14ac:dyDescent="0.2">
      <c r="A3557" s="2" t="s">
        <v>292</v>
      </c>
      <c r="B3557" s="2" t="str">
        <f>HYPERLINK("https://www.squamishchief.com/health/more-beans-and-less-red-meat-nutrition-experts-weigh-in-on-us-dietary-guidelines-9934906")</f>
        <v>https://www.squamishchief.com/health/more-beans-and-less-red-meat-nutrition-experts-weigh-in-on-us-dietary-guidelines-9934906</v>
      </c>
      <c r="C3557" s="2" t="s">
        <v>1993</v>
      </c>
      <c r="D3557" s="3">
        <v>45636.780381944453</v>
      </c>
      <c r="E3557" s="2" t="s">
        <v>38</v>
      </c>
    </row>
    <row r="3558" spans="1:5" ht="56" x14ac:dyDescent="0.2">
      <c r="A3558" s="2" t="s">
        <v>292</v>
      </c>
      <c r="B3558" s="2" t="str">
        <f>HYPERLINK("https://www.squamishchief.com/the-mix/more-beans-and-less-red-meat-nutrition-experts-weigh-in-on-us-dietary-guidelines-9934888")</f>
        <v>https://www.squamishchief.com/the-mix/more-beans-and-less-red-meat-nutrition-experts-weigh-in-on-us-dietary-guidelines-9934888</v>
      </c>
      <c r="C3558" s="2" t="s">
        <v>1993</v>
      </c>
      <c r="D3558" s="3">
        <v>45636.780393518522</v>
      </c>
      <c r="E3558" s="2" t="s">
        <v>38</v>
      </c>
    </row>
    <row r="3559" spans="1:5" ht="56" x14ac:dyDescent="0.2">
      <c r="A3559" s="2" t="s">
        <v>292</v>
      </c>
      <c r="B3559" s="2" t="str">
        <f>HYPERLINK("https://www.burnabynow.com/health-news/more-beans-and-less-red-meat-nutrition-experts-weigh-in-on-us-dietary-guidelines-9934906")</f>
        <v>https://www.burnabynow.com/health-news/more-beans-and-less-red-meat-nutrition-experts-weigh-in-on-us-dietary-guidelines-9934906</v>
      </c>
      <c r="C3559" s="2" t="s">
        <v>2394</v>
      </c>
      <c r="D3559" s="3">
        <v>45636.780439814807</v>
      </c>
      <c r="E3559" s="2" t="s">
        <v>38</v>
      </c>
    </row>
    <row r="3560" spans="1:5" ht="56" x14ac:dyDescent="0.2">
      <c r="A3560" s="2" t="s">
        <v>292</v>
      </c>
      <c r="B3560" s="2" t="str">
        <f>HYPERLINK("https://www.burnabynow.com/the-mix/more-beans-and-less-red-meat-nutrition-experts-weigh-in-on-us-dietary-guidelines-9934888")</f>
        <v>https://www.burnabynow.com/the-mix/more-beans-and-less-red-meat-nutrition-experts-weigh-in-on-us-dietary-guidelines-9934888</v>
      </c>
      <c r="C3560" s="2" t="s">
        <v>2394</v>
      </c>
      <c r="D3560" s="3">
        <v>45636.780451388891</v>
      </c>
      <c r="E3560" s="2" t="s">
        <v>38</v>
      </c>
    </row>
    <row r="3561" spans="1:5" ht="42" x14ac:dyDescent="0.2">
      <c r="A3561" s="2" t="s">
        <v>292</v>
      </c>
      <c r="B3561" s="2" t="str">
        <f>HYPERLINK("https://www.pressregister.com/more-beans-and-less-red-meat-nutrition-experts-weigh-us-dietary-guidelines-1")</f>
        <v>https://www.pressregister.com/more-beans-and-less-red-meat-nutrition-experts-weigh-us-dietary-guidelines-1</v>
      </c>
      <c r="C3561" s="2" t="s">
        <v>962</v>
      </c>
      <c r="D3561" s="3">
        <v>45636.780578703707</v>
      </c>
      <c r="E3561" s="2" t="s">
        <v>38</v>
      </c>
    </row>
    <row r="3562" spans="1:5" ht="56" x14ac:dyDescent="0.2">
      <c r="A3562" s="2" t="s">
        <v>292</v>
      </c>
      <c r="B3562" s="2" t="str">
        <f>HYPERLINK("https://www.delta-optimist.com/the-mix/more-beans-and-less-red-meat-nutrition-experts-weigh-in-on-us-dietary-guidelines-9934888")</f>
        <v>https://www.delta-optimist.com/the-mix/more-beans-and-less-red-meat-nutrition-experts-weigh-in-on-us-dietary-guidelines-9934888</v>
      </c>
      <c r="C3562" s="2" t="s">
        <v>2001</v>
      </c>
      <c r="D3562" s="3">
        <v>45636.781076388892</v>
      </c>
      <c r="E3562" s="2" t="s">
        <v>38</v>
      </c>
    </row>
    <row r="3563" spans="1:5" ht="56" x14ac:dyDescent="0.2">
      <c r="A3563" s="2" t="s">
        <v>292</v>
      </c>
      <c r="B3563" s="2" t="str">
        <f>HYPERLINK("https://www.delta-optimist.com/health/more-beans-and-less-red-meat-nutrition-experts-weigh-in-on-us-dietary-guidelines-9934906")</f>
        <v>https://www.delta-optimist.com/health/more-beans-and-less-red-meat-nutrition-experts-weigh-in-on-us-dietary-guidelines-9934906</v>
      </c>
      <c r="C3563" s="2" t="s">
        <v>2001</v>
      </c>
      <c r="D3563" s="3">
        <v>45636.781099537038</v>
      </c>
      <c r="E3563" s="2" t="s">
        <v>38</v>
      </c>
    </row>
    <row r="3564" spans="1:5" ht="56" x14ac:dyDescent="0.2">
      <c r="A3564" s="2" t="s">
        <v>292</v>
      </c>
      <c r="B3564" s="2" t="str">
        <f>HYPERLINK("https://www.richmond-news.com/the-mix/more-beans-and-less-red-meat-nutrition-experts-weigh-in-on-us-dietary-guidelines-9934888")</f>
        <v>https://www.richmond-news.com/the-mix/more-beans-and-less-red-meat-nutrition-experts-weigh-in-on-us-dietary-guidelines-9934888</v>
      </c>
      <c r="C3564" s="2" t="s">
        <v>2513</v>
      </c>
      <c r="D3564" s="3">
        <v>45636.781157407408</v>
      </c>
      <c r="E3564" s="2" t="s">
        <v>38</v>
      </c>
    </row>
    <row r="3565" spans="1:5" ht="56" x14ac:dyDescent="0.2">
      <c r="A3565" s="2" t="s">
        <v>292</v>
      </c>
      <c r="B3565" s="2" t="str">
        <f>HYPERLINK("https://www.richmond-news.com/health/more-beans-and-less-red-meat-nutrition-experts-weigh-in-on-us-dietary-guidelines-9934906")</f>
        <v>https://www.richmond-news.com/health/more-beans-and-less-red-meat-nutrition-experts-weigh-in-on-us-dietary-guidelines-9934906</v>
      </c>
      <c r="C3565" s="2" t="s">
        <v>2513</v>
      </c>
      <c r="D3565" s="3">
        <v>45636.781157407408</v>
      </c>
      <c r="E3565" s="2" t="s">
        <v>38</v>
      </c>
    </row>
    <row r="3566" spans="1:5" ht="70" x14ac:dyDescent="0.2">
      <c r="A3566" s="2" t="s">
        <v>292</v>
      </c>
      <c r="B3566" s="2" t="str">
        <f>HYPERLINK("https://www.washtimesherald.com/news/national_news/more-beans-and-less-red-meat-nutrition-experts-weigh-in-on-us-dietary-guidelines/article_63cd1325-4e58-565a-9620-251ef48d8a3b.html")</f>
        <v>https://www.washtimesherald.com/news/national_news/more-beans-and-less-red-meat-nutrition-experts-weigh-in-on-us-dietary-guidelines/article_63cd1325-4e58-565a-9620-251ef48d8a3b.html</v>
      </c>
      <c r="C3566" s="2" t="s">
        <v>1157</v>
      </c>
      <c r="D3566" s="3">
        <v>45636.783020833333</v>
      </c>
      <c r="E3566" s="2" t="s">
        <v>38</v>
      </c>
    </row>
    <row r="3567" spans="1:5" ht="56" x14ac:dyDescent="0.2">
      <c r="A3567" s="2" t="s">
        <v>292</v>
      </c>
      <c r="B3567" s="2" t="str">
        <f>HYPERLINK("https://www.newwestrecord.ca/health/more-beans-and-less-red-meat-nutrition-experts-weigh-in-on-us-dietary-guidelines-9934906")</f>
        <v>https://www.newwestrecord.ca/health/more-beans-and-less-red-meat-nutrition-experts-weigh-in-on-us-dietary-guidelines-9934906</v>
      </c>
      <c r="C3567" s="2" t="s">
        <v>1885</v>
      </c>
      <c r="D3567" s="3">
        <v>45636.783738425933</v>
      </c>
      <c r="E3567" s="2" t="s">
        <v>38</v>
      </c>
    </row>
    <row r="3568" spans="1:5" ht="56" x14ac:dyDescent="0.2">
      <c r="A3568" s="2" t="s">
        <v>292</v>
      </c>
      <c r="B3568" s="2" t="str">
        <f>HYPERLINK("https://www.newwestrecord.ca/the-mix/more-beans-and-less-red-meat-nutrition-experts-weigh-in-on-us-dietary-guidelines-9934888")</f>
        <v>https://www.newwestrecord.ca/the-mix/more-beans-and-less-red-meat-nutrition-experts-weigh-in-on-us-dietary-guidelines-9934888</v>
      </c>
      <c r="C3568" s="2" t="s">
        <v>1885</v>
      </c>
      <c r="D3568" s="3">
        <v>45636.783750000002</v>
      </c>
      <c r="E3568" s="2" t="s">
        <v>38</v>
      </c>
    </row>
    <row r="3569" spans="1:5" ht="70" x14ac:dyDescent="0.2">
      <c r="A3569" s="2" t="s">
        <v>122</v>
      </c>
      <c r="B3569" s="2" t="str">
        <f>HYPERLINK("https://fremonttribune.com/life-entertainment/nation-world/food-drink/food-nutrition-diet-health-wellness/article_8b905bca-9be3-52b4-aee2-e5ff8d08007f.html")</f>
        <v>https://fremonttribune.com/life-entertainment/nation-world/food-drink/food-nutrition-diet-health-wellness/article_8b905bca-9be3-52b4-aee2-e5ff8d08007f.html</v>
      </c>
      <c r="C3569" s="2" t="s">
        <v>1437</v>
      </c>
      <c r="D3569" s="3">
        <v>45636.791666666657</v>
      </c>
      <c r="E3569" s="2" t="s">
        <v>38</v>
      </c>
    </row>
    <row r="3570" spans="1:5" ht="70" x14ac:dyDescent="0.2">
      <c r="A3570" s="2" t="s">
        <v>122</v>
      </c>
      <c r="B3570" s="2" t="str">
        <f>HYPERLINK("https://news.lee.net/life-entertainment/nation-world/food-drink/food-nutrition-diet-health-wellness/article_5841e43e-b740-11ef-8a38-3b8d93d7831e.html")</f>
        <v>https://news.lee.net/life-entertainment/nation-world/food-drink/food-nutrition-diet-health-wellness/article_5841e43e-b740-11ef-8a38-3b8d93d7831e.html</v>
      </c>
      <c r="C3570" s="2" t="s">
        <v>1651</v>
      </c>
      <c r="D3570" s="3">
        <v>45636.791666666657</v>
      </c>
      <c r="E3570" s="2" t="s">
        <v>38</v>
      </c>
    </row>
    <row r="3571" spans="1:5" ht="70" x14ac:dyDescent="0.2">
      <c r="A3571" s="2" t="s">
        <v>122</v>
      </c>
      <c r="B3571" s="2" t="str">
        <f>HYPERLINK("https://magicvalley.com/life-entertainment/nation-world/food-drink/food-nutrition-diet-health-wellness/article_30333fc0-5df6-5dcc-816f-b288c4e18123.html")</f>
        <v>https://magicvalley.com/life-entertainment/nation-world/food-drink/food-nutrition-diet-health-wellness/article_30333fc0-5df6-5dcc-816f-b288c4e18123.html</v>
      </c>
      <c r="C3571" s="2" t="s">
        <v>1789</v>
      </c>
      <c r="D3571" s="3">
        <v>45636.791666666657</v>
      </c>
      <c r="E3571" s="2" t="s">
        <v>38</v>
      </c>
    </row>
    <row r="3572" spans="1:5" ht="70" x14ac:dyDescent="0.2">
      <c r="A3572" s="2" t="s">
        <v>122</v>
      </c>
      <c r="B3572" s="2" t="str">
        <f>HYPERLINK("https://newsadvance.com/life-entertainment/nation-world/food-drink/food-nutrition-diet-health-wellness/article_06a64bdf-716e-55ec-8f7b-3bb56e3d7ed5.html")</f>
        <v>https://newsadvance.com/life-entertainment/nation-world/food-drink/food-nutrition-diet-health-wellness/article_06a64bdf-716e-55ec-8f7b-3bb56e3d7ed5.html</v>
      </c>
      <c r="C3572" s="2" t="s">
        <v>1863</v>
      </c>
      <c r="D3572" s="3">
        <v>45636.791666666657</v>
      </c>
      <c r="E3572" s="2" t="s">
        <v>38</v>
      </c>
    </row>
    <row r="3573" spans="1:5" ht="70" x14ac:dyDescent="0.2">
      <c r="A3573" s="2" t="s">
        <v>122</v>
      </c>
      <c r="B3573" s="2" t="str">
        <f>HYPERLINK("https://poststar.com/life-entertainment/nation-world/food-drink/food-nutrition-diet-health-wellness/article_240c53b7-b996-58b0-96d3-144baabcfc46.html")</f>
        <v>https://poststar.com/life-entertainment/nation-world/food-drink/food-nutrition-diet-health-wellness/article_240c53b7-b996-58b0-96d3-144baabcfc46.html</v>
      </c>
      <c r="C3573" s="2" t="s">
        <v>2010</v>
      </c>
      <c r="D3573" s="3">
        <v>45636.791666666657</v>
      </c>
      <c r="E3573" s="2" t="s">
        <v>38</v>
      </c>
    </row>
    <row r="3574" spans="1:5" ht="56" x14ac:dyDescent="0.2">
      <c r="A3574" s="2" t="s">
        <v>2657</v>
      </c>
      <c r="B3574" s="2" t="str">
        <f>HYPERLINK("https://spectrumlocalnews.com/nc/triad/health-and-medicine/2024/12/11/beans-red-meat-dietary-guidelines")</f>
        <v>https://spectrumlocalnews.com/nc/triad/health-and-medicine/2024/12/11/beans-red-meat-dietary-guidelines</v>
      </c>
      <c r="C3574" s="2" t="s">
        <v>2897</v>
      </c>
      <c r="D3574" s="3">
        <v>45636.791666666657</v>
      </c>
      <c r="E3574" s="2" t="s">
        <v>38</v>
      </c>
    </row>
    <row r="3575" spans="1:5" ht="70" x14ac:dyDescent="0.2">
      <c r="A3575" s="2" t="s">
        <v>326</v>
      </c>
      <c r="B3575" s="2" t="str">
        <f>HYPERLINK("https://www.thecanadianpressnews.ca/health/more-beans-and-less-red-meat-nutrition-experts-weigh-in-on-us-dietary-guidelines/article_e134b1ac-f46b-5bc3-b97d-3513f6cf593a.html")</f>
        <v>https://www.thecanadianpressnews.ca/health/more-beans-and-less-red-meat-nutrition-experts-weigh-in-on-us-dietary-guidelines/article_e134b1ac-f46b-5bc3-b97d-3513f6cf593a.html</v>
      </c>
      <c r="C3575" s="2" t="s">
        <v>1737</v>
      </c>
      <c r="D3575" s="3">
        <v>45636.794328703712</v>
      </c>
      <c r="E3575" s="2" t="s">
        <v>38</v>
      </c>
    </row>
    <row r="3576" spans="1:5" ht="42" x14ac:dyDescent="0.2">
      <c r="A3576" s="2" t="s">
        <v>3308</v>
      </c>
      <c r="B3576" s="2" t="str">
        <f>HYPERLINK("https://www.audacy.com/knxnews/news/national/nutrition-experts-weigh-in-on-us-dietary-guidelines")</f>
        <v>https://www.audacy.com/knxnews/news/national/nutrition-experts-weigh-in-on-us-dietary-guidelines</v>
      </c>
      <c r="C3576" s="2" t="s">
        <v>3309</v>
      </c>
      <c r="D3576" s="3">
        <v>45636.79519675926</v>
      </c>
      <c r="E3576" s="2" t="s">
        <v>38</v>
      </c>
    </row>
    <row r="3577" spans="1:5" ht="56" x14ac:dyDescent="0.2">
      <c r="A3577" s="2" t="s">
        <v>292</v>
      </c>
      <c r="B3577" s="2" t="str">
        <f>HYPERLINK("https://kyma.com/news/2024/12/10/more-beans-and-less-red-meat-nutrition-experts-weigh-in-on-us-dietary-guidelines/")</f>
        <v>https://kyma.com/news/2024/12/10/more-beans-and-less-red-meat-nutrition-experts-weigh-in-on-us-dietary-guidelines/</v>
      </c>
      <c r="C3577" s="2" t="s">
        <v>2038</v>
      </c>
      <c r="D3577" s="3">
        <v>45636.797071759262</v>
      </c>
      <c r="E3577" s="2" t="s">
        <v>38</v>
      </c>
    </row>
    <row r="3578" spans="1:5" ht="42" x14ac:dyDescent="0.2">
      <c r="A3578" s="2" t="s">
        <v>2709</v>
      </c>
      <c r="B3578" s="2" t="str">
        <f>HYPERLINK("https://vinnews.com/2024/12/10/more-beans-and-less-red-meat-nutritionists-weigh-in-on-us-dietary-guidelines/")</f>
        <v>https://vinnews.com/2024/12/10/more-beans-and-less-red-meat-nutritionists-weigh-in-on-us-dietary-guidelines/</v>
      </c>
      <c r="C3578" s="2" t="s">
        <v>2710</v>
      </c>
      <c r="D3578" s="3">
        <v>45636.799537037034</v>
      </c>
      <c r="E3578" s="2" t="s">
        <v>38</v>
      </c>
    </row>
    <row r="3579" spans="1:5" ht="70" x14ac:dyDescent="0.2">
      <c r="A3579" s="2" t="s">
        <v>292</v>
      </c>
      <c r="B3579" s="2" t="str">
        <f>HYPERLINK("https://www.djournal.com/lifestyle/food/more-beans-and-less-red-meat-nutrition-experts-weigh-in-on-us-dietary-guidelines/article_1be1bcb8-b753-11ef-9c78-d70fcc9da169.html")</f>
        <v>https://www.djournal.com/lifestyle/food/more-beans-and-less-red-meat-nutrition-experts-weigh-in-on-us-dietary-guidelines/article_1be1bcb8-b753-11ef-9c78-d70fcc9da169.html</v>
      </c>
      <c r="C3579" s="2" t="s">
        <v>1910</v>
      </c>
      <c r="D3579" s="3">
        <v>45636.803252314807</v>
      </c>
      <c r="E3579" s="2" t="s">
        <v>38</v>
      </c>
    </row>
    <row r="3580" spans="1:5" ht="42" x14ac:dyDescent="0.2">
      <c r="A3580" s="2" t="s">
        <v>292</v>
      </c>
      <c r="B3580" s="2" t="str">
        <f>HYPERLINK("https://www.tallahatchienews.ms/more-beans-and-less-red-meat-nutrition-experts-weigh-us-dietary-guidelines")</f>
        <v>https://www.tallahatchienews.ms/more-beans-and-less-red-meat-nutrition-experts-weigh-us-dietary-guidelines</v>
      </c>
      <c r="C3580" s="2" t="s">
        <v>688</v>
      </c>
      <c r="D3580" s="3">
        <v>45636.803437499999</v>
      </c>
      <c r="E3580" s="2" t="s">
        <v>38</v>
      </c>
    </row>
    <row r="3581" spans="1:5" ht="42" x14ac:dyDescent="0.2">
      <c r="A3581" s="2" t="s">
        <v>292</v>
      </c>
      <c r="B3581" s="2" t="str">
        <f>HYPERLINK("https://todayschronic.com/more-beans-and-less-red-meat-nutrition-experts-weigh-in-on-us-dietary-guidelines/")</f>
        <v>https://todayschronic.com/more-beans-and-less-red-meat-nutrition-experts-weigh-in-on-us-dietary-guidelines/</v>
      </c>
      <c r="C3581" s="2" t="s">
        <v>524</v>
      </c>
      <c r="D3581" s="3">
        <v>45636.809293981481</v>
      </c>
      <c r="E3581" s="2" t="s">
        <v>38</v>
      </c>
    </row>
    <row r="3582" spans="1:5" ht="70" x14ac:dyDescent="0.2">
      <c r="A3582" s="2" t="s">
        <v>292</v>
      </c>
      <c r="B3582" s="2" t="str">
        <f>HYPERLINK("https://www.postandcourier.com/ap/lifestyles/more-beans-and-less-red-meat-nutrition-experts-weigh-in-on-us-dietary-guidelines/article_fa3d3281-3e84-5ea6-af8a-6e1871860fd8.html")</f>
        <v>https://www.postandcourier.com/ap/lifestyles/more-beans-and-less-red-meat-nutrition-experts-weigh-in-on-us-dietary-guidelines/article_fa3d3281-3e84-5ea6-af8a-6e1871860fd8.html</v>
      </c>
      <c r="C3582" s="2" t="s">
        <v>2996</v>
      </c>
      <c r="D3582" s="3">
        <v>45636.839606481481</v>
      </c>
      <c r="E3582" s="2" t="s">
        <v>38</v>
      </c>
    </row>
    <row r="3583" spans="1:5" ht="42" x14ac:dyDescent="0.2">
      <c r="A3583" s="2" t="s">
        <v>122</v>
      </c>
      <c r="B3583" s="2" t="str">
        <f>HYPERLINK("http://wbco.com/news/030030-more-beans-and-less-red-meat-nutritionists-weigh-in-on-us-dietary-guidelines/")</f>
        <v>http://wbco.com/news/030030-more-beans-and-less-red-meat-nutritionists-weigh-in-on-us-dietary-guidelines/</v>
      </c>
      <c r="C3583" s="2" t="s">
        <v>568</v>
      </c>
      <c r="D3583" s="3">
        <v>45636.843541666669</v>
      </c>
      <c r="E3583" s="2" t="s">
        <v>38</v>
      </c>
    </row>
    <row r="3584" spans="1:5" ht="42" x14ac:dyDescent="0.2">
      <c r="A3584" s="2" t="s">
        <v>292</v>
      </c>
      <c r="B3584" s="2" t="str">
        <f>HYPERLINK("https://www.grenadastar.com/more-beans-and-less-red-meat-nutrition-experts-weigh-us-dietary-guidelines-0")</f>
        <v>https://www.grenadastar.com/more-beans-and-less-red-meat-nutrition-experts-weigh-us-dietary-guidelines-0</v>
      </c>
      <c r="C3584" s="2" t="s">
        <v>857</v>
      </c>
      <c r="D3584" s="3">
        <v>45636.852500000001</v>
      </c>
      <c r="E3584" s="2" t="s">
        <v>38</v>
      </c>
    </row>
    <row r="3585" spans="1:5" ht="56" x14ac:dyDescent="0.2">
      <c r="A3585" s="2" t="s">
        <v>1233</v>
      </c>
      <c r="B3585" s="2" t="str">
        <f>HYPERLINK("https://www.thecanadianpressnews.ca/world/ap-news-in-brief-at-6-04-p-m-est/article_e5f63a63-a9fd-50c5-9240-6c4db7d9ca16.html")</f>
        <v>https://www.thecanadianpressnews.ca/world/ap-news-in-brief-at-6-04-p-m-est/article_e5f63a63-a9fd-50c5-9240-6c4db7d9ca16.html</v>
      </c>
      <c r="C3585" s="2" t="s">
        <v>1737</v>
      </c>
      <c r="D3585" s="3">
        <v>45636.869583333333</v>
      </c>
      <c r="E3585" s="2" t="s">
        <v>38</v>
      </c>
    </row>
    <row r="3586" spans="1:5" ht="42" x14ac:dyDescent="0.2">
      <c r="A3586" s="2" t="s">
        <v>292</v>
      </c>
      <c r="B3586" s="2" t="str">
        <f>HYPERLINK("https://www.gwcommonwealth.com/more-beans-and-less-red-meat-nutrition-experts-weigh-us-dietary-guidelines")</f>
        <v>https://www.gwcommonwealth.com/more-beans-and-less-red-meat-nutrition-experts-weigh-us-dietary-guidelines</v>
      </c>
      <c r="C3586" s="2" t="s">
        <v>1673</v>
      </c>
      <c r="D3586" s="3">
        <v>45636.880798611113</v>
      </c>
      <c r="E3586" s="2" t="s">
        <v>38</v>
      </c>
    </row>
    <row r="3587" spans="1:5" ht="56" x14ac:dyDescent="0.2">
      <c r="A3587" s="2" t="s">
        <v>979</v>
      </c>
      <c r="B3587" s="2" t="str">
        <f>HYPERLINK("https://www.postregister.com/news/national/ap-news-in-brief-at-9-04-p-m-est/article_4961b368-4576-5781-9716-5ef79383843c.html")</f>
        <v>https://www.postregister.com/news/national/ap-news-in-brief-at-9-04-p-m-est/article_4961b368-4576-5781-9716-5ef79383843c.html</v>
      </c>
      <c r="C3587" s="2" t="s">
        <v>1687</v>
      </c>
      <c r="D3587" s="3">
        <v>45636.886296296303</v>
      </c>
      <c r="E3587" s="2" t="s">
        <v>38</v>
      </c>
    </row>
    <row r="3588" spans="1:5" ht="56" x14ac:dyDescent="0.2">
      <c r="A3588" s="2" t="s">
        <v>979</v>
      </c>
      <c r="B3588" s="2" t="str">
        <f>HYPERLINK("https://www.bdtonline.com/news/nation_world/ap-news-in-brief-at-9-04-p-m-est/article_7675bdc4-2cff-5af5-b247-425a1ddf6136.html")</f>
        <v>https://www.bdtonline.com/news/nation_world/ap-news-in-brief-at-9-04-p-m-est/article_7675bdc4-2cff-5af5-b247-425a1ddf6136.html</v>
      </c>
      <c r="C3588" s="2" t="s">
        <v>1949</v>
      </c>
      <c r="D3588" s="3">
        <v>45636.888194444437</v>
      </c>
      <c r="E3588" s="2" t="s">
        <v>38</v>
      </c>
    </row>
    <row r="3589" spans="1:5" ht="56" x14ac:dyDescent="0.2">
      <c r="A3589" s="2" t="s">
        <v>979</v>
      </c>
      <c r="B3589" s="2" t="str">
        <f>HYPERLINK("https://www.ottumwacourier.com/news/national_news/ap-news-in-brief-at-9-04-p-m-est/article_204fc9df-3728-5c8f-aa2b-f251695a9111.html")</f>
        <v>https://www.ottumwacourier.com/news/national_news/ap-news-in-brief-at-9-04-p-m-est/article_204fc9df-3728-5c8f-aa2b-f251695a9111.html</v>
      </c>
      <c r="C3589" s="2" t="s">
        <v>1504</v>
      </c>
      <c r="D3589" s="3">
        <v>45636.888703703713</v>
      </c>
      <c r="E3589" s="2" t="s">
        <v>38</v>
      </c>
    </row>
    <row r="3590" spans="1:5" ht="56" x14ac:dyDescent="0.2">
      <c r="A3590" s="2" t="s">
        <v>979</v>
      </c>
      <c r="B3590" s="2" t="str">
        <f>HYPERLINK("https://www.ivpressonline.com/news/nation/ap-news-in-brief-at-9-04-p-m-est/article_688ad79c-78f3-5e28-8667-363205f0c230.html")</f>
        <v>https://www.ivpressonline.com/news/nation/ap-news-in-brief-at-9-04-p-m-est/article_688ad79c-78f3-5e28-8667-363205f0c230.html</v>
      </c>
      <c r="C3590" s="2" t="s">
        <v>1630</v>
      </c>
      <c r="D3590" s="3">
        <v>45636.889421296299</v>
      </c>
      <c r="E3590" s="2" t="s">
        <v>38</v>
      </c>
    </row>
    <row r="3591" spans="1:5" ht="56" x14ac:dyDescent="0.2">
      <c r="A3591" s="2" t="s">
        <v>979</v>
      </c>
      <c r="B3591" s="2" t="str">
        <f>HYPERLINK("https://santamariatimes.com/ap/national/ap-news-in-brief-at-9-04-p-m-est/article_867998a7-6e5f-59d6-bee1-f98781c1fac8.html")</f>
        <v>https://santamariatimes.com/ap/national/ap-news-in-brief-at-9-04-p-m-est/article_867998a7-6e5f-59d6-bee1-f98781c1fac8.html</v>
      </c>
      <c r="C3591" s="2" t="s">
        <v>1802</v>
      </c>
      <c r="D3591" s="3">
        <v>45636.889699074083</v>
      </c>
      <c r="E3591" s="2" t="s">
        <v>38</v>
      </c>
    </row>
    <row r="3592" spans="1:5" ht="56" x14ac:dyDescent="0.2">
      <c r="A3592" s="2" t="s">
        <v>979</v>
      </c>
      <c r="B3592" s="2" t="str">
        <f>HYPERLINK("https://www.oskaloosa.com/news/national_news/ap-news-in-brief-at-9-04-p-m-est/article_4d9408dc-d066-5173-944d-91b6ae922695.html")</f>
        <v>https://www.oskaloosa.com/news/national_news/ap-news-in-brief-at-9-04-p-m-est/article_4d9408dc-d066-5173-944d-91b6ae922695.html</v>
      </c>
      <c r="C3592" s="2" t="s">
        <v>1283</v>
      </c>
      <c r="D3592" s="3">
        <v>45636.891053240739</v>
      </c>
      <c r="E3592" s="2" t="s">
        <v>38</v>
      </c>
    </row>
    <row r="3593" spans="1:5" ht="56" x14ac:dyDescent="0.2">
      <c r="A3593" s="2" t="s">
        <v>1644</v>
      </c>
      <c r="B3593" s="2" t="str">
        <f>HYPERLINK("https://www.sunstar.com.ph/network/more-beans-and-less-red-meat-nutrition-experts-weigh-in-on-us-dietary-guidelines")</f>
        <v>https://www.sunstar.com.ph/network/more-beans-and-less-red-meat-nutrition-experts-weigh-in-on-us-dietary-guidelines</v>
      </c>
      <c r="C3593" s="2" t="s">
        <v>2778</v>
      </c>
      <c r="D3593" s="3">
        <v>45636.893449074072</v>
      </c>
      <c r="E3593" s="2" t="s">
        <v>38</v>
      </c>
    </row>
    <row r="3594" spans="1:5" ht="56" x14ac:dyDescent="0.2">
      <c r="A3594" s="2" t="s">
        <v>979</v>
      </c>
      <c r="B3594" s="2" t="str">
        <f>HYPERLINK("https://www.woonsocketcall.com/news/national_and_world_news/ap-news-in-brief-at-9-04-p-m-est/article_51867327-3492-51cc-bd98-767731d6e5bf.html")</f>
        <v>https://www.woonsocketcall.com/news/national_and_world_news/ap-news-in-brief-at-9-04-p-m-est/article_51867327-3492-51cc-bd98-767731d6e5bf.html</v>
      </c>
      <c r="C3594" s="2" t="s">
        <v>978</v>
      </c>
      <c r="D3594" s="3">
        <v>45636.894907407397</v>
      </c>
      <c r="E3594" s="2" t="s">
        <v>38</v>
      </c>
    </row>
    <row r="3595" spans="1:5" ht="56" x14ac:dyDescent="0.2">
      <c r="A3595" s="2" t="s">
        <v>979</v>
      </c>
      <c r="B3595" s="2" t="str">
        <f>HYPERLINK("https://www.smdailyjournal.com/news/national/ap-news-in-brief-at-9-04-p-m-est/article_585f3bde-f920-5902-9696-d5d4b3820484.html")</f>
        <v>https://www.smdailyjournal.com/news/national/ap-news-in-brief-at-9-04-p-m-est/article_585f3bde-f920-5902-9696-d5d4b3820484.html</v>
      </c>
      <c r="C3595" s="2" t="s">
        <v>2202</v>
      </c>
      <c r="D3595" s="3">
        <v>45636.896122685182</v>
      </c>
      <c r="E3595" s="2" t="s">
        <v>38</v>
      </c>
    </row>
    <row r="3596" spans="1:5" ht="56" x14ac:dyDescent="0.2">
      <c r="A3596" s="2" t="s">
        <v>292</v>
      </c>
      <c r="B3596" s="2" t="str">
        <f>HYPERLINK("https://gorgenewscenter.com/2024/12/10/more-beans-and-less-red-meat-nutrition-experts-weigh-in-on-us-dietary-guidelines/")</f>
        <v>https://gorgenewscenter.com/2024/12/10/more-beans-and-less-red-meat-nutrition-experts-weigh-in-on-us-dietary-guidelines/</v>
      </c>
      <c r="C3596" s="2" t="s">
        <v>4206</v>
      </c>
      <c r="D3596" s="3">
        <v>45636.896365740737</v>
      </c>
      <c r="E3596" s="2" t="s">
        <v>38</v>
      </c>
    </row>
    <row r="3597" spans="1:5" ht="56" x14ac:dyDescent="0.2">
      <c r="A3597" s="2" t="s">
        <v>979</v>
      </c>
      <c r="B3597" s="2" t="str">
        <f>HYPERLINK("https://www.jonesborosun.com/news/national/ap-news-in-brief-at-9-04-p-m-est/article_4f153261-c312-55ab-91be-af0e2d37d646.html")</f>
        <v>https://www.jonesborosun.com/news/national/ap-news-in-brief-at-9-04-p-m-est/article_4f153261-c312-55ab-91be-af0e2d37d646.html</v>
      </c>
      <c r="C3597" s="2" t="s">
        <v>1729</v>
      </c>
      <c r="D3597" s="3">
        <v>45636.899618055562</v>
      </c>
      <c r="E3597" s="2" t="s">
        <v>38</v>
      </c>
    </row>
    <row r="3598" spans="1:5" ht="70" x14ac:dyDescent="0.2">
      <c r="A3598" s="2" t="s">
        <v>780</v>
      </c>
      <c r="B3598" s="2" t="str">
        <f>HYPERLINK("https://lesactualites.news/sante/colostrum-bovin-lait-cru-et-cortisol-visage-les-plus-grandes-tendances-bien-etre-de-2024-eh-bien-en-fait/")</f>
        <v>https://lesactualites.news/sante/colostrum-bovin-lait-cru-et-cortisol-visage-les-plus-grandes-tendances-bien-etre-de-2024-eh-bien-en-fait/</v>
      </c>
      <c r="C3598" s="2" t="s">
        <v>734</v>
      </c>
      <c r="D3598" s="3">
        <v>45636.906215277777</v>
      </c>
      <c r="E3598" s="2" t="s">
        <v>781</v>
      </c>
    </row>
    <row r="3599" spans="1:5" ht="56" x14ac:dyDescent="0.2">
      <c r="A3599" s="2" t="s">
        <v>979</v>
      </c>
      <c r="B3599" s="2" t="str">
        <f>HYPERLINK("https://www.starbeacon.com/region/ap-news-in-brief-at-9-04-p-m-est/article_a233a866-cb01-5206-b463-1e52f251bd67.html")</f>
        <v>https://www.starbeacon.com/region/ap-news-in-brief-at-9-04-p-m-est/article_a233a866-cb01-5206-b463-1e52f251bd67.html</v>
      </c>
      <c r="C3599" s="2" t="s">
        <v>1784</v>
      </c>
      <c r="D3599" s="3">
        <v>45636.919641203713</v>
      </c>
      <c r="E3599" s="2" t="s">
        <v>38</v>
      </c>
    </row>
    <row r="3600" spans="1:5" ht="56" x14ac:dyDescent="0.2">
      <c r="A3600" s="2" t="s">
        <v>979</v>
      </c>
      <c r="B3600" s="2" t="str">
        <f>HYPERLINK("https://www.aspendailynews.com/associated_press/ap-news-in-brief-at-9-04-p-m-est/article_fc35e564-982e-5c96-90f8-cecde9e72868.html")</f>
        <v>https://www.aspendailynews.com/associated_press/ap-news-in-brief-at-9-04-p-m-est/article_fc35e564-982e-5c96-90f8-cecde9e72868.html</v>
      </c>
      <c r="C3600" s="2" t="s">
        <v>1918</v>
      </c>
      <c r="D3600" s="3">
        <v>45636.945567129631</v>
      </c>
      <c r="E3600" s="2" t="s">
        <v>38</v>
      </c>
    </row>
    <row r="3601" spans="1:5" ht="56" x14ac:dyDescent="0.2">
      <c r="A3601" s="2" t="s">
        <v>122</v>
      </c>
      <c r="B3601" s="2" t="str">
        <f>HYPERLINK("https://techandsciencepost.com/news/health/more-beans-and-less-red-meat-nutritionists-weigh-in-on-us-dietary-guidelines/")</f>
        <v>https://techandsciencepost.com/news/health/more-beans-and-less-red-meat-nutritionists-weigh-in-on-us-dietary-guidelines/</v>
      </c>
      <c r="C3601" s="2" t="s">
        <v>307</v>
      </c>
      <c r="D3601" s="3">
        <v>45636.946157407408</v>
      </c>
      <c r="E3601" s="2" t="s">
        <v>38</v>
      </c>
    </row>
    <row r="3602" spans="1:5" ht="84" x14ac:dyDescent="0.2">
      <c r="A3602" s="2" t="s">
        <v>292</v>
      </c>
      <c r="B3602" s="2" t="str">
        <f>HYPERLINK("https://centurylink.net/news/read/article/the_associated_press-more_beans_and_less_red_meat_nutritionists_weigh_i-ap/vendor/The%20Associated%20Press")</f>
        <v>https://centurylink.net/news/read/article/the_associated_press-more_beans_and_less_red_meat_nutritionists_weigh_i-ap/vendor/The%20Associated%20Press</v>
      </c>
      <c r="C3602" s="2" t="s">
        <v>2680</v>
      </c>
      <c r="D3602" s="3">
        <v>45636.953923611109</v>
      </c>
      <c r="E3602" s="2" t="s">
        <v>38</v>
      </c>
    </row>
    <row r="3603" spans="1:5" ht="56" x14ac:dyDescent="0.2">
      <c r="A3603" s="2" t="s">
        <v>1688</v>
      </c>
      <c r="B3603" s="2" t="str">
        <f>HYPERLINK("https://www.postregister.com/news/national/ap-news-in-brief-at-11-04-p-m-est/article_4961b368-4576-5781-9716-5ef79383843c.html")</f>
        <v>https://www.postregister.com/news/national/ap-news-in-brief-at-11-04-p-m-est/article_4961b368-4576-5781-9716-5ef79383843c.html</v>
      </c>
      <c r="C3603" s="2" t="s">
        <v>1687</v>
      </c>
      <c r="D3603" s="3">
        <v>45636.964942129627</v>
      </c>
      <c r="E3603" s="2" t="s">
        <v>38</v>
      </c>
    </row>
    <row r="3604" spans="1:5" ht="56" x14ac:dyDescent="0.2">
      <c r="A3604" s="2" t="s">
        <v>1688</v>
      </c>
      <c r="B3604" s="2" t="str">
        <f>HYPERLINK("https://www.bdtonline.com/news/nation_world/ap-news-in-brief-at-11-04-p-m-est/article_7675bdc4-2cff-5af5-b247-425a1ddf6136.html")</f>
        <v>https://www.bdtonline.com/news/nation_world/ap-news-in-brief-at-11-04-p-m-est/article_7675bdc4-2cff-5af5-b247-425a1ddf6136.html</v>
      </c>
      <c r="C3604" s="2" t="s">
        <v>1949</v>
      </c>
      <c r="D3604" s="3">
        <v>45636.968460648153</v>
      </c>
      <c r="E3604" s="2" t="s">
        <v>38</v>
      </c>
    </row>
    <row r="3605" spans="1:5" ht="56" x14ac:dyDescent="0.2">
      <c r="A3605" s="2" t="s">
        <v>1688</v>
      </c>
      <c r="B3605" s="2" t="str">
        <f>HYPERLINK("https://santamariatimes.com/ap/national/ap-news-in-brief-at-11-04-p-m-est/article_867998a7-6e5f-59d6-bee1-f98781c1fac8.html")</f>
        <v>https://santamariatimes.com/ap/national/ap-news-in-brief-at-11-04-p-m-est/article_867998a7-6e5f-59d6-bee1-f98781c1fac8.html</v>
      </c>
      <c r="C3605" s="2" t="s">
        <v>1802</v>
      </c>
      <c r="D3605" s="3">
        <v>45636.968506944453</v>
      </c>
      <c r="E3605" s="2" t="s">
        <v>38</v>
      </c>
    </row>
    <row r="3606" spans="1:5" ht="56" x14ac:dyDescent="0.2">
      <c r="A3606" s="2" t="s">
        <v>1688</v>
      </c>
      <c r="B3606" s="2" t="str">
        <f>HYPERLINK("https://www.ivpressonline.com/news/nation/ap-news-in-brief-at-11-04-p-m-est/article_688ad79c-78f3-5e28-8667-363205f0c230.html")</f>
        <v>https://www.ivpressonline.com/news/nation/ap-news-in-brief-at-11-04-p-m-est/article_688ad79c-78f3-5e28-8667-363205f0c230.html</v>
      </c>
      <c r="C3606" s="2" t="s">
        <v>1630</v>
      </c>
      <c r="D3606" s="3">
        <v>45636.971574074072</v>
      </c>
      <c r="E3606" s="2" t="s">
        <v>38</v>
      </c>
    </row>
    <row r="3607" spans="1:5" ht="56" x14ac:dyDescent="0.2">
      <c r="A3607" s="2" t="s">
        <v>1688</v>
      </c>
      <c r="B3607" s="2" t="str">
        <f>HYPERLINK("https://www.jonesborosun.com/news/national/ap-news-in-brief-at-11-04-p-m-est/article_4f153261-c312-55ab-91be-af0e2d37d646.html")</f>
        <v>https://www.jonesborosun.com/news/national/ap-news-in-brief-at-11-04-p-m-est/article_4f153261-c312-55ab-91be-af0e2d37d646.html</v>
      </c>
      <c r="C3607" s="2" t="s">
        <v>1729</v>
      </c>
      <c r="D3607" s="3">
        <v>45636.971828703703</v>
      </c>
      <c r="E3607" s="2" t="s">
        <v>38</v>
      </c>
    </row>
    <row r="3608" spans="1:5" ht="56" x14ac:dyDescent="0.2">
      <c r="A3608" s="2" t="s">
        <v>979</v>
      </c>
      <c r="B3608" s="2" t="str">
        <f>HYPERLINK("https://www.thecanadianpressnews.ca/world/ap-news-in-brief-at-9-04-p-m-est/article_e5f63a63-a9fd-50c5-9240-6c4db7d9ca16.html")</f>
        <v>https://www.thecanadianpressnews.ca/world/ap-news-in-brief-at-9-04-p-m-est/article_e5f63a63-a9fd-50c5-9240-6c4db7d9ca16.html</v>
      </c>
      <c r="C3608" s="2" t="s">
        <v>1737</v>
      </c>
      <c r="D3608" s="3">
        <v>45636.973391203697</v>
      </c>
      <c r="E3608" s="2" t="s">
        <v>38</v>
      </c>
    </row>
    <row r="3609" spans="1:5" ht="56" x14ac:dyDescent="0.2">
      <c r="A3609" s="2" t="s">
        <v>1688</v>
      </c>
      <c r="B3609" s="2" t="str">
        <f>HYPERLINK("https://www.starbeacon.com/region/ap-news-in-brief-at-11-04-p-m-est/article_a233a866-cb01-5206-b463-1e52f251bd67.html")</f>
        <v>https://www.starbeacon.com/region/ap-news-in-brief-at-11-04-p-m-est/article_a233a866-cb01-5206-b463-1e52f251bd67.html</v>
      </c>
      <c r="C3609" s="2" t="s">
        <v>1784</v>
      </c>
      <c r="D3609" s="3">
        <v>45636.976261574076</v>
      </c>
      <c r="E3609" s="2" t="s">
        <v>38</v>
      </c>
    </row>
    <row r="3610" spans="1:5" ht="56" x14ac:dyDescent="0.2">
      <c r="A3610" s="2" t="s">
        <v>1688</v>
      </c>
      <c r="B3610" s="2" t="str">
        <f>HYPERLINK("https://www.aspendailynews.com/associated_press/ap-news-in-brief-at-11-04-p-m-est/article_fc35e564-982e-5c96-90f8-cecde9e72868.html")</f>
        <v>https://www.aspendailynews.com/associated_press/ap-news-in-brief-at-11-04-p-m-est/article_fc35e564-982e-5c96-90f8-cecde9e72868.html</v>
      </c>
      <c r="C3610" s="2" t="s">
        <v>1918</v>
      </c>
      <c r="D3610" s="3">
        <v>45636.998252314806</v>
      </c>
      <c r="E3610" s="2" t="s">
        <v>38</v>
      </c>
    </row>
    <row r="3611" spans="1:5" ht="70" x14ac:dyDescent="0.2">
      <c r="A3611" s="2" t="s">
        <v>122</v>
      </c>
      <c r="B3611" s="2" t="str">
        <f>HYPERLINK("https://wahoo-ashland-waverly.com/life-entertainment/nation-world/food-drink/food-nutrition-diet-health-wellness/article_3d976d4e-e136-5e19-baa8-f2e34e18a806.html")</f>
        <v>https://wahoo-ashland-waverly.com/life-entertainment/nation-world/food-drink/food-nutrition-diet-health-wellness/article_3d976d4e-e136-5e19-baa8-f2e34e18a806.html</v>
      </c>
      <c r="C3611" s="2" t="s">
        <v>697</v>
      </c>
      <c r="D3611" s="3">
        <v>45637</v>
      </c>
      <c r="E3611" s="2" t="s">
        <v>38</v>
      </c>
    </row>
    <row r="3612" spans="1:5" ht="70" x14ac:dyDescent="0.2">
      <c r="A3612" s="2" t="s">
        <v>122</v>
      </c>
      <c r="B3612" s="2" t="str">
        <f>HYPERLINK("https://valleynewstoday.com/life-entertainment/nation-world/food-drink/food-nutrition-diet-health-wellness/article_2edd3a93-ad9f-502c-ae81-2f325e605b2e.html")</f>
        <v>https://valleynewstoday.com/life-entertainment/nation-world/food-drink/food-nutrition-diet-health-wellness/article_2edd3a93-ad9f-502c-ae81-2f325e605b2e.html</v>
      </c>
      <c r="C3612" s="2" t="s">
        <v>873</v>
      </c>
      <c r="D3612" s="3">
        <v>45637</v>
      </c>
      <c r="E3612" s="2" t="s">
        <v>38</v>
      </c>
    </row>
    <row r="3613" spans="1:5" ht="70" x14ac:dyDescent="0.2">
      <c r="A3613" s="2" t="s">
        <v>122</v>
      </c>
      <c r="B3613" s="2" t="str">
        <f>HYPERLINK("https://yorknewstimes.com/life-entertainment/nation-world/food-drink/food-nutrition-diet-health-wellness/article_9900993c-ae04-5c78-a383-286751692219.html")</f>
        <v>https://yorknewstimes.com/life-entertainment/nation-world/food-drink/food-nutrition-diet-health-wellness/article_9900993c-ae04-5c78-a383-286751692219.html</v>
      </c>
      <c r="C3613" s="2" t="s">
        <v>1265</v>
      </c>
      <c r="D3613" s="3">
        <v>45637</v>
      </c>
      <c r="E3613" s="2" t="s">
        <v>38</v>
      </c>
    </row>
    <row r="3614" spans="1:5" ht="70" x14ac:dyDescent="0.2">
      <c r="A3614" s="2" t="s">
        <v>122</v>
      </c>
      <c r="B3614" s="2" t="str">
        <f>HYPERLINK("https://godanriver.com/life-entertainment/nation-world/food-drink/food-nutrition-diet-health-wellness/article_b286275e-c3a0-5895-8569-aa254e79ff9f.html")</f>
        <v>https://godanriver.com/life-entertainment/nation-world/food-drink/food-nutrition-diet-health-wellness/article_b286275e-c3a0-5895-8569-aa254e79ff9f.html</v>
      </c>
      <c r="C3614" s="2" t="s">
        <v>1362</v>
      </c>
      <c r="D3614" s="3">
        <v>45637</v>
      </c>
      <c r="E3614" s="2" t="s">
        <v>38</v>
      </c>
    </row>
    <row r="3615" spans="1:5" ht="56" x14ac:dyDescent="0.2">
      <c r="A3615" s="2" t="s">
        <v>1417</v>
      </c>
      <c r="B3615" s="2" t="str">
        <f>HYPERLINK("https://www.reviewonline.com/uncategorized/2024/12/more-beans-and-less-red-meat-nutrition-experts-weigh-in-on-us-dietary-guidelines/")</f>
        <v>https://www.reviewonline.com/uncategorized/2024/12/more-beans-and-less-red-meat-nutrition-experts-weigh-in-on-us-dietary-guidelines/</v>
      </c>
      <c r="C3615" s="2" t="s">
        <v>1418</v>
      </c>
      <c r="D3615" s="3">
        <v>45637</v>
      </c>
      <c r="E3615" s="2" t="s">
        <v>38</v>
      </c>
    </row>
    <row r="3616" spans="1:5" ht="70" x14ac:dyDescent="0.2">
      <c r="A3616" s="2" t="s">
        <v>122</v>
      </c>
      <c r="B3616" s="2" t="str">
        <f>HYPERLINK("https://chippewa.com/life-entertainment/nation-world/food-drink/food-nutrition-diet-health-wellness/article_dfc8c473-d7cc-5537-b133-3c3682bb3b66.html")</f>
        <v>https://chippewa.com/life-entertainment/nation-world/food-drink/food-nutrition-diet-health-wellness/article_dfc8c473-d7cc-5537-b133-3c3682bb3b66.html</v>
      </c>
      <c r="C3616" s="2" t="s">
        <v>1470</v>
      </c>
      <c r="D3616" s="3">
        <v>45637</v>
      </c>
      <c r="E3616" s="2" t="s">
        <v>38</v>
      </c>
    </row>
    <row r="3617" spans="1:5" ht="56" x14ac:dyDescent="0.2">
      <c r="A3617" s="2" t="s">
        <v>326</v>
      </c>
      <c r="B3617" s="2" t="str">
        <f>HYPERLINK("https://www.marshallindependent.com/news/national-news-apwire/2024/12/nutrition-experts-weigh-in-on-us-dietary-guidelines/")</f>
        <v>https://www.marshallindependent.com/news/national-news-apwire/2024/12/nutrition-experts-weigh-in-on-us-dietary-guidelines/</v>
      </c>
      <c r="C3617" s="2" t="s">
        <v>1475</v>
      </c>
      <c r="D3617" s="3">
        <v>45637</v>
      </c>
      <c r="E3617" s="2" t="s">
        <v>38</v>
      </c>
    </row>
    <row r="3618" spans="1:5" ht="70" x14ac:dyDescent="0.2">
      <c r="A3618" s="2" t="s">
        <v>122</v>
      </c>
      <c r="B3618" s="2" t="str">
        <f>HYPERLINK("https://starherald.com/life-entertainment/nation-world/food-drink/food-nutrition-diet-health-wellness/article_ce69ec7d-8ef5-5c96-90fd-8cd6772acb57.html")</f>
        <v>https://starherald.com/life-entertainment/nation-world/food-drink/food-nutrition-diet-health-wellness/article_ce69ec7d-8ef5-5c96-90fd-8cd6772acb57.html</v>
      </c>
      <c r="C3618" s="2" t="s">
        <v>1569</v>
      </c>
      <c r="D3618" s="3">
        <v>45637</v>
      </c>
      <c r="E3618" s="2" t="s">
        <v>38</v>
      </c>
    </row>
    <row r="3619" spans="1:5" ht="70" x14ac:dyDescent="0.2">
      <c r="A3619" s="2" t="s">
        <v>122</v>
      </c>
      <c r="B3619" s="2" t="str">
        <f>HYPERLINK("https://dothaneagle.com/life-entertainment/nation-world/food-drink/food-nutrition-diet-health-wellness/article_9ae3a5f9-0b39-5e5f-a43e-1df97dc72bae.html")</f>
        <v>https://dothaneagle.com/life-entertainment/nation-world/food-drink/food-nutrition-diet-health-wellness/article_9ae3a5f9-0b39-5e5f-a43e-1df97dc72bae.html</v>
      </c>
      <c r="C3619" s="2" t="s">
        <v>1618</v>
      </c>
      <c r="D3619" s="3">
        <v>45637</v>
      </c>
      <c r="E3619" s="2" t="s">
        <v>38</v>
      </c>
    </row>
    <row r="3620" spans="1:5" ht="42" x14ac:dyDescent="0.2">
      <c r="A3620" s="2" t="s">
        <v>1644</v>
      </c>
      <c r="B3620" s="2" t="str">
        <f>HYPERLINK("https://www.adirondackdailyenterprise.com/news/health/2024/12/more-beans-and-less-red-meat/")</f>
        <v>https://www.adirondackdailyenterprise.com/news/health/2024/12/more-beans-and-less-red-meat/</v>
      </c>
      <c r="C3620" s="2" t="s">
        <v>1645</v>
      </c>
      <c r="D3620" s="3">
        <v>45637</v>
      </c>
      <c r="E3620" s="2" t="s">
        <v>38</v>
      </c>
    </row>
    <row r="3621" spans="1:5" ht="56" x14ac:dyDescent="0.2">
      <c r="A3621" s="2" t="s">
        <v>977</v>
      </c>
      <c r="B3621" s="2" t="str">
        <f>HYPERLINK("https://www.itemonline.com/ap-news-in-brief-at-12-04-a-m-est/article_c7960ca2-44f2-538a-9c77-8903fcfaf280.html")</f>
        <v>https://www.itemonline.com/ap-news-in-brief-at-12-04-a-m-est/article_c7960ca2-44f2-538a-9c77-8903fcfaf280.html</v>
      </c>
      <c r="C3621" s="2" t="s">
        <v>1674</v>
      </c>
      <c r="D3621" s="3">
        <v>45637</v>
      </c>
      <c r="E3621" s="2" t="s">
        <v>38</v>
      </c>
    </row>
    <row r="3622" spans="1:5" ht="56" x14ac:dyDescent="0.2">
      <c r="A3622" s="2" t="s">
        <v>122</v>
      </c>
      <c r="B3622" s="2" t="str">
        <f>HYPERLINK("https://www.applevalleynewsnow.com/news/shareable-stories/food-nutrition-diet-health-wellness/article_d827eae8-7aa8-569a-8078-2ab62af468f1.html")</f>
        <v>https://www.applevalleynewsnow.com/news/shareable-stories/food-nutrition-diet-health-wellness/article_d827eae8-7aa8-569a-8078-2ab62af468f1.html</v>
      </c>
      <c r="C3622" s="2" t="s">
        <v>1690</v>
      </c>
      <c r="D3622" s="3">
        <v>45637</v>
      </c>
      <c r="E3622" s="2" t="s">
        <v>38</v>
      </c>
    </row>
    <row r="3623" spans="1:5" ht="70" x14ac:dyDescent="0.2">
      <c r="A3623" s="2" t="s">
        <v>122</v>
      </c>
      <c r="B3623" s="2" t="str">
        <f>HYPERLINK("https://morganton.com/life-entertainment/nation-world/food-drink/food-nutrition-diet-health-wellness/article_bc7c7e7d-187d-51c1-8f2c-80ba28569246.html")</f>
        <v>https://morganton.com/life-entertainment/nation-world/food-drink/food-nutrition-diet-health-wellness/article_bc7c7e7d-187d-51c1-8f2c-80ba28569246.html</v>
      </c>
      <c r="C3623" s="2" t="s">
        <v>1592</v>
      </c>
      <c r="D3623" s="3">
        <v>45637</v>
      </c>
      <c r="E3623" s="2" t="s">
        <v>38</v>
      </c>
    </row>
    <row r="3624" spans="1:5" ht="56" x14ac:dyDescent="0.2">
      <c r="A3624" s="2" t="s">
        <v>977</v>
      </c>
      <c r="B3624" s="2" t="str">
        <f>HYPERLINK("https://www.jonesborosun.com/news/national/ap-news-in-brief-at-12-04-a-m-est/article_e4aebf41-2f5b-5652-b576-99b0a50bdc81.html")</f>
        <v>https://www.jonesborosun.com/news/national/ap-news-in-brief-at-12-04-a-m-est/article_e4aebf41-2f5b-5652-b576-99b0a50bdc81.html</v>
      </c>
      <c r="C3624" s="2" t="s">
        <v>1729</v>
      </c>
      <c r="D3624" s="3">
        <v>45637</v>
      </c>
      <c r="E3624" s="2" t="s">
        <v>38</v>
      </c>
    </row>
    <row r="3625" spans="1:5" ht="409.6" x14ac:dyDescent="0.2">
      <c r="A3625" s="2" t="s">
        <v>122</v>
      </c>
      <c r="B3625" s="2" t="str">
        <f>HYPERLINK("https://lakegenevanews.net/life-entertainment/nation-world/food-drink/food-nutrition-diet-health-wellness/article_949a0f22-3070-5ac5-aaf0-3703878a9148.html")</f>
        <v>https://lakegenevanews.net/life-entertainment/nation-world/food-drink/food-nutrition-diet-health-wellness/article_949a0f22-3070-5ac5-aaf0-3703878a9148.html</v>
      </c>
      <c r="C3625" s="2" t="s">
        <v>1532</v>
      </c>
      <c r="D3625" s="3">
        <v>45637</v>
      </c>
      <c r="E3625" s="2" t="s">
        <v>1751</v>
      </c>
    </row>
    <row r="3626" spans="1:5" ht="56" x14ac:dyDescent="0.2">
      <c r="A3626" s="2" t="s">
        <v>977</v>
      </c>
      <c r="B3626" s="2" t="str">
        <f>HYPERLINK("https://www.ivpressonline.com/news/nation/ap-news-in-brief-at-12-04-a-m-est/article_bbdfcd82-dd8f-5606-a924-6f003c89a25c.html")</f>
        <v>https://www.ivpressonline.com/news/nation/ap-news-in-brief-at-12-04-a-m-est/article_bbdfcd82-dd8f-5606-a924-6f003c89a25c.html</v>
      </c>
      <c r="C3626" s="2" t="s">
        <v>1630</v>
      </c>
      <c r="D3626" s="3">
        <v>45637</v>
      </c>
      <c r="E3626" s="2" t="s">
        <v>38</v>
      </c>
    </row>
    <row r="3627" spans="1:5" ht="56" x14ac:dyDescent="0.2">
      <c r="A3627" s="2" t="s">
        <v>1816</v>
      </c>
      <c r="B3627" s="2" t="str">
        <f>HYPERLINK("https://www.ironmountaindailynews.com/opinion/columns/2024/12/nutrition-experts-weigh-in-on-us-dietary-guidelines/")</f>
        <v>https://www.ironmountaindailynews.com/opinion/columns/2024/12/nutrition-experts-weigh-in-on-us-dietary-guidelines/</v>
      </c>
      <c r="C3627" s="2" t="s">
        <v>1817</v>
      </c>
      <c r="D3627" s="3">
        <v>45637</v>
      </c>
      <c r="E3627" s="2" t="s">
        <v>38</v>
      </c>
    </row>
    <row r="3628" spans="1:5" ht="56" x14ac:dyDescent="0.2">
      <c r="A3628" s="2" t="s">
        <v>122</v>
      </c>
      <c r="B3628" s="2" t="str">
        <f>HYPERLINK("https://www.crossroadstoday.com/news/shareable-stories/food-nutrition-diet-health-wellness/article_68f997fa-daca-5a41-9706-624494f2a832.html")</f>
        <v>https://www.crossroadstoday.com/news/shareable-stories/food-nutrition-diet-health-wellness/article_68f997fa-daca-5a41-9706-624494f2a832.html</v>
      </c>
      <c r="C3628" s="2" t="s">
        <v>1821</v>
      </c>
      <c r="D3628" s="3">
        <v>45637</v>
      </c>
      <c r="E3628" s="2" t="s">
        <v>38</v>
      </c>
    </row>
    <row r="3629" spans="1:5" ht="56" x14ac:dyDescent="0.2">
      <c r="A3629" s="2" t="s">
        <v>1875</v>
      </c>
      <c r="B3629" s="2" t="str">
        <f>HYPERLINK("https://www.newsandsentinel.com/uncategorized/2024/12/more-beans-and-less-red-meat-nutritionists-weigh-in-on-u-s-dietary-guidelines/")</f>
        <v>https://www.newsandsentinel.com/uncategorized/2024/12/more-beans-and-less-red-meat-nutritionists-weigh-in-on-u-s-dietary-guidelines/</v>
      </c>
      <c r="C3629" s="2" t="s">
        <v>1876</v>
      </c>
      <c r="D3629" s="3">
        <v>45637</v>
      </c>
      <c r="E3629" s="2" t="s">
        <v>38</v>
      </c>
    </row>
    <row r="3630" spans="1:5" ht="56" x14ac:dyDescent="0.2">
      <c r="A3630" s="2" t="s">
        <v>977</v>
      </c>
      <c r="B3630" s="2" t="str">
        <f>HYPERLINK("https://santamariatimes.com/ap/national/ap-news-in-brief-at-12-04-a-m-est/article_7e480d7e-02d1-5e48-a448-747b7d8dcba0.html")</f>
        <v>https://santamariatimes.com/ap/national/ap-news-in-brief-at-12-04-a-m-est/article_7e480d7e-02d1-5e48-a448-747b7d8dcba0.html</v>
      </c>
      <c r="C3630" s="2" t="s">
        <v>1802</v>
      </c>
      <c r="D3630" s="3">
        <v>45637</v>
      </c>
      <c r="E3630" s="2" t="s">
        <v>38</v>
      </c>
    </row>
    <row r="3631" spans="1:5" ht="56" x14ac:dyDescent="0.2">
      <c r="A3631" s="2" t="s">
        <v>977</v>
      </c>
      <c r="B3631" s="2" t="str">
        <f>HYPERLINK("https://www.dnronline.com/associated_press/national/ap-news-in-brief-at-12-04-a-m-est/article_27626a07-d420-5f14-b2b5-a5a045a6ea24.html")</f>
        <v>https://www.dnronline.com/associated_press/national/ap-news-in-brief-at-12-04-a-m-est/article_27626a07-d420-5f14-b2b5-a5a045a6ea24.html</v>
      </c>
      <c r="C3631" s="2" t="s">
        <v>1902</v>
      </c>
      <c r="D3631" s="3">
        <v>45637</v>
      </c>
      <c r="E3631" s="2" t="s">
        <v>38</v>
      </c>
    </row>
    <row r="3632" spans="1:5" ht="70" x14ac:dyDescent="0.2">
      <c r="A3632" s="2" t="s">
        <v>122</v>
      </c>
      <c r="B3632" s="2" t="str">
        <f>HYPERLINK("https://auburnpub.com/life-entertainment/nation-world/food-drink/food-nutrition-diet-health-wellness/article_fca684c9-5be7-510f-801b-b8a2d4dfdbf9.html")</f>
        <v>https://auburnpub.com/life-entertainment/nation-world/food-drink/food-nutrition-diet-health-wellness/article_fca684c9-5be7-510f-801b-b8a2d4dfdbf9.html</v>
      </c>
      <c r="C3632" s="2" t="s">
        <v>1909</v>
      </c>
      <c r="D3632" s="3">
        <v>45637</v>
      </c>
      <c r="E3632" s="2" t="s">
        <v>38</v>
      </c>
    </row>
    <row r="3633" spans="1:5" ht="70" x14ac:dyDescent="0.2">
      <c r="A3633" s="2" t="s">
        <v>122</v>
      </c>
      <c r="B3633" s="2" t="str">
        <f>HYPERLINK("https://globegazette.com/life-entertainment/nation-world/food-drink/food-nutrition-diet-health-wellness/article_99fea554-3c40-5bd3-8538-877fe0258360.html")</f>
        <v>https://globegazette.com/life-entertainment/nation-world/food-drink/food-nutrition-diet-health-wellness/article_99fea554-3c40-5bd3-8538-877fe0258360.html</v>
      </c>
      <c r="C3633" s="2" t="s">
        <v>1911</v>
      </c>
      <c r="D3633" s="3">
        <v>45637</v>
      </c>
      <c r="E3633" s="2" t="s">
        <v>38</v>
      </c>
    </row>
    <row r="3634" spans="1:5" ht="70" x14ac:dyDescent="0.2">
      <c r="A3634" s="2" t="s">
        <v>977</v>
      </c>
      <c r="B3634" s="2" t="str">
        <f>HYPERLINK("https://www.union-bulletin.com/news/national/ap-news-in-brief-at-12-04-a-m-est/article_d0b52dd8-a791-5285-a719-2800f0cb6353.html")</f>
        <v>https://www.union-bulletin.com/news/national/ap-news-in-brief-at-12-04-a-m-est/article_d0b52dd8-a791-5285-a719-2800f0cb6353.html</v>
      </c>
      <c r="C3634" s="2" t="s">
        <v>1877</v>
      </c>
      <c r="D3634" s="3">
        <v>45637</v>
      </c>
      <c r="E3634" s="2" t="s">
        <v>38</v>
      </c>
    </row>
    <row r="3635" spans="1:5" ht="56" x14ac:dyDescent="0.2">
      <c r="A3635" s="2" t="s">
        <v>977</v>
      </c>
      <c r="B3635" s="2" t="str">
        <f>HYPERLINK("https://www.aspendailynews.com/associated_press/ap-news-in-brief-at-12-04-a-m-est/article_e3c3df2e-a8c8-5f23-9e91-1f862a75e56e.html")</f>
        <v>https://www.aspendailynews.com/associated_press/ap-news-in-brief-at-12-04-a-m-est/article_e3c3df2e-a8c8-5f23-9e91-1f862a75e56e.html</v>
      </c>
      <c r="C3635" s="2" t="s">
        <v>1918</v>
      </c>
      <c r="D3635" s="3">
        <v>45637</v>
      </c>
      <c r="E3635" s="2" t="s">
        <v>38</v>
      </c>
    </row>
    <row r="3636" spans="1:5" ht="56" x14ac:dyDescent="0.2">
      <c r="A3636" s="2" t="s">
        <v>977</v>
      </c>
      <c r="B3636" s="2" t="str">
        <f>HYPERLINK("https://www.gjsentinel.com/news/us/ap-news-in-brief-at-12-04-a-m-est/article_ac171284-c5a9-56da-9d1e-8789e5457a87.html")</f>
        <v>https://www.gjsentinel.com/news/us/ap-news-in-brief-at-12-04-a-m-est/article_ac171284-c5a9-56da-9d1e-8789e5457a87.html</v>
      </c>
      <c r="C3636" s="2" t="s">
        <v>2053</v>
      </c>
      <c r="D3636" s="3">
        <v>45637</v>
      </c>
      <c r="E3636" s="2" t="s">
        <v>38</v>
      </c>
    </row>
    <row r="3637" spans="1:5" ht="70" x14ac:dyDescent="0.2">
      <c r="A3637" s="2" t="s">
        <v>122</v>
      </c>
      <c r="B3637" s="2" t="str">
        <f>HYPERLINK("https://wacotrib.com/life-entertainment/nation-world/food-drink/food-nutrition-diet-health-wellness/article_7de23b8d-5ef2-5ad4-83b3-921a5b659755.html")</f>
        <v>https://wacotrib.com/life-entertainment/nation-world/food-drink/food-nutrition-diet-health-wellness/article_7de23b8d-5ef2-5ad4-83b3-921a5b659755.html</v>
      </c>
      <c r="C3637" s="2" t="s">
        <v>2106</v>
      </c>
      <c r="D3637" s="3">
        <v>45637</v>
      </c>
      <c r="E3637" s="2" t="s">
        <v>38</v>
      </c>
    </row>
    <row r="3638" spans="1:5" ht="70" x14ac:dyDescent="0.2">
      <c r="A3638" s="2" t="s">
        <v>122</v>
      </c>
      <c r="B3638" s="2" t="str">
        <f>HYPERLINK("https://pantagraph.com/life-entertainment/nation-world/food-drink/food-nutrition-diet-health-wellness/article_a9049453-8d81-5506-a167-8368abc42af8.html")</f>
        <v>https://pantagraph.com/life-entertainment/nation-world/food-drink/food-nutrition-diet-health-wellness/article_a9049453-8d81-5506-a167-8368abc42af8.html</v>
      </c>
      <c r="C3638" s="2" t="s">
        <v>2103</v>
      </c>
      <c r="D3638" s="3">
        <v>45637</v>
      </c>
      <c r="E3638" s="2" t="s">
        <v>38</v>
      </c>
    </row>
    <row r="3639" spans="1:5" ht="70" x14ac:dyDescent="0.2">
      <c r="A3639" s="2" t="s">
        <v>122</v>
      </c>
      <c r="B3639" s="2" t="str">
        <f>HYPERLINK("https://pressofatlanticcity.com/life-entertainment/nation-world/food-drink/food-nutrition-diet-health-wellness/article_f6dc1c6c-3480-561b-b9d5-11340432607b.html")</f>
        <v>https://pressofatlanticcity.com/life-entertainment/nation-world/food-drink/food-nutrition-diet-health-wellness/article_f6dc1c6c-3480-561b-b9d5-11340432607b.html</v>
      </c>
      <c r="C3639" s="2" t="s">
        <v>2191</v>
      </c>
      <c r="D3639" s="3">
        <v>45637</v>
      </c>
      <c r="E3639" s="2" t="s">
        <v>38</v>
      </c>
    </row>
    <row r="3640" spans="1:5" ht="56" x14ac:dyDescent="0.2">
      <c r="A3640" s="2" t="s">
        <v>977</v>
      </c>
      <c r="B3640" s="2" t="str">
        <f>HYPERLINK("https://www.bozemandailychronicle.com/ap_news/ap-news-in-brief-at-12-04-a-m-est/article_fc1bb574-da59-52d6-a478-1f93bd6a8b72.html")</f>
        <v>https://www.bozemandailychronicle.com/ap_news/ap-news-in-brief-at-12-04-a-m-est/article_fc1bb574-da59-52d6-a478-1f93bd6a8b72.html</v>
      </c>
      <c r="C3640" s="2" t="s">
        <v>2219</v>
      </c>
      <c r="D3640" s="3">
        <v>45637</v>
      </c>
      <c r="E3640" s="2" t="s">
        <v>38</v>
      </c>
    </row>
    <row r="3641" spans="1:5" ht="70" x14ac:dyDescent="0.2">
      <c r="A3641" s="2" t="s">
        <v>122</v>
      </c>
      <c r="B3641" s="2" t="str">
        <f>HYPERLINK("https://journalnow.com/life-entertainment/nation-world/food-drink/food-nutrition-diet-health-wellness/article_31237b3c-9ced-537a-b192-69bca53d6cea.html")</f>
        <v>https://journalnow.com/life-entertainment/nation-world/food-drink/food-nutrition-diet-health-wellness/article_31237b3c-9ced-537a-b192-69bca53d6cea.html</v>
      </c>
      <c r="C3641" s="2" t="s">
        <v>2298</v>
      </c>
      <c r="D3641" s="3">
        <v>45637</v>
      </c>
      <c r="E3641" s="2" t="s">
        <v>38</v>
      </c>
    </row>
    <row r="3642" spans="1:5" ht="70" x14ac:dyDescent="0.2">
      <c r="A3642" s="2" t="s">
        <v>122</v>
      </c>
      <c r="B3642" s="2" t="str">
        <f>HYPERLINK("https://buffalonews.com/life-entertainment/nation-world/food-drink/food-nutrition-diet-health-wellness/article_9b147254-61fa-5ce8-ac13-3e35b7c1a331.html")</f>
        <v>https://buffalonews.com/life-entertainment/nation-world/food-drink/food-nutrition-diet-health-wellness/article_9b147254-61fa-5ce8-ac13-3e35b7c1a331.html</v>
      </c>
      <c r="C3642" s="2" t="s">
        <v>2725</v>
      </c>
      <c r="D3642" s="3">
        <v>45637</v>
      </c>
      <c r="E3642" s="2" t="s">
        <v>38</v>
      </c>
    </row>
    <row r="3643" spans="1:5" ht="56" x14ac:dyDescent="0.2">
      <c r="A3643" s="2" t="s">
        <v>122</v>
      </c>
      <c r="B3643" s="2" t="str">
        <f>HYPERLINK("https://www.wfmz.com/news/news-lee/food-nutrition-diet-health-wellness/article_32b8fea7-baa8-5fba-b145-a136062eba79.html")</f>
        <v>https://www.wfmz.com/news/news-lee/food-nutrition-diet-health-wellness/article_32b8fea7-baa8-5fba-b145-a136062eba79.html</v>
      </c>
      <c r="C3643" s="2" t="s">
        <v>2745</v>
      </c>
      <c r="D3643" s="3">
        <v>45637</v>
      </c>
      <c r="E3643" s="2" t="s">
        <v>38</v>
      </c>
    </row>
    <row r="3644" spans="1:5" ht="56" x14ac:dyDescent="0.2">
      <c r="A3644" s="2" t="s">
        <v>122</v>
      </c>
      <c r="B3644" s="2" t="str">
        <f>HYPERLINK("https://www.channel3000.com/news/shareable-stories/food-nutrition-diet-health-wellness/article_a697889a-acbe-5bee-a52a-c2301b9ac595.html")</f>
        <v>https://www.channel3000.com/news/shareable-stories/food-nutrition-diet-health-wellness/article_a697889a-acbe-5bee-a52a-c2301b9ac595.html</v>
      </c>
      <c r="C3644" s="2" t="s">
        <v>2760</v>
      </c>
      <c r="D3644" s="3">
        <v>45637</v>
      </c>
      <c r="E3644" s="2" t="s">
        <v>38</v>
      </c>
    </row>
    <row r="3645" spans="1:5" ht="56" x14ac:dyDescent="0.2">
      <c r="A3645" s="2" t="s">
        <v>2657</v>
      </c>
      <c r="B3645" s="2" t="str">
        <f>HYPERLINK("https://ny1.com/nyc/all-boroughs/health-and-medicine/2024/12/11/beans-red-meat-dietary-guidelines")</f>
        <v>https://ny1.com/nyc/all-boroughs/health-and-medicine/2024/12/11/beans-red-meat-dietary-guidelines</v>
      </c>
      <c r="C3645" s="2" t="s">
        <v>2797</v>
      </c>
      <c r="D3645" s="3">
        <v>45637</v>
      </c>
      <c r="E3645" s="2" t="s">
        <v>38</v>
      </c>
    </row>
    <row r="3646" spans="1:5" ht="70" x14ac:dyDescent="0.2">
      <c r="A3646" s="2" t="s">
        <v>122</v>
      </c>
      <c r="B3646" s="2" t="str">
        <f>HYPERLINK("https://madison.com/life-entertainment/nation-world/food-drink/food-nutrition-diet-health-wellness/article_28fb3ca8-7cf8-5aad-9252-3905f0db3d4d.html")</f>
        <v>https://madison.com/life-entertainment/nation-world/food-drink/food-nutrition-diet-health-wellness/article_28fb3ca8-7cf8-5aad-9252-3905f0db3d4d.html</v>
      </c>
      <c r="C3646" s="2" t="s">
        <v>2828</v>
      </c>
      <c r="D3646" s="3">
        <v>45637</v>
      </c>
      <c r="E3646" s="2" t="s">
        <v>38</v>
      </c>
    </row>
    <row r="3647" spans="1:5" ht="70" x14ac:dyDescent="0.2">
      <c r="A3647" s="2" t="s">
        <v>122</v>
      </c>
      <c r="B3647" s="2" t="str">
        <f>HYPERLINK("https://www.stltoday.com/life-entertainment/nation-world/food-drink/food-nutrition-diet-health-wellness/article_a4324cd3-53f0-5fbc-8f81-cd23a4030d25.html")</f>
        <v>https://www.stltoday.com/life-entertainment/nation-world/food-drink/food-nutrition-diet-health-wellness/article_a4324cd3-53f0-5fbc-8f81-cd23a4030d25.html</v>
      </c>
      <c r="C3647" s="2" t="s">
        <v>2877</v>
      </c>
      <c r="D3647" s="3">
        <v>45637</v>
      </c>
      <c r="E3647" s="2" t="s">
        <v>38</v>
      </c>
    </row>
    <row r="3648" spans="1:5" ht="70" x14ac:dyDescent="0.2">
      <c r="A3648" s="2" t="s">
        <v>292</v>
      </c>
      <c r="B3648" s="2" t="str">
        <f>HYPERLINK("https://www.whitecountycitizen.com/more-beans-and-less-red-meat-nutrition-experts-weigh-in-on-us-dietary-guidelines/article_2ed25c74-a6c3-5a62-9af2-808c43b343b8.html")</f>
        <v>https://www.whitecountycitizen.com/more-beans-and-less-red-meat-nutrition-experts-weigh-in-on-us-dietary-guidelines/article_2ed25c74-a6c3-5a62-9af2-808c43b343b8.html</v>
      </c>
      <c r="C3648" s="2" t="s">
        <v>3988</v>
      </c>
      <c r="D3648" s="3">
        <v>45637</v>
      </c>
      <c r="E3648" s="2" t="s">
        <v>38</v>
      </c>
    </row>
    <row r="3649" spans="1:5" ht="70" x14ac:dyDescent="0.2">
      <c r="A3649" s="2" t="s">
        <v>292</v>
      </c>
      <c r="B3649" s="2" t="str">
        <f>HYPERLINK("https://santamariatimes.com/ap/lifestyles/more-beans-and-less-red-meat-nutrition-experts-weigh-in-on-us-dietary-guidelines/article_915b36a6-b756-11ef-8ed5-4feae76a96cd.html")</f>
        <v>https://santamariatimes.com/ap/lifestyles/more-beans-and-less-red-meat-nutrition-experts-weigh-in-on-us-dietary-guidelines/article_915b36a6-b756-11ef-8ed5-4feae76a96cd.html</v>
      </c>
      <c r="C3649" s="2" t="s">
        <v>1802</v>
      </c>
      <c r="D3649" s="3">
        <v>45637.002847222233</v>
      </c>
      <c r="E3649" s="2" t="s">
        <v>38</v>
      </c>
    </row>
    <row r="3650" spans="1:5" ht="42" x14ac:dyDescent="0.2">
      <c r="A3650" s="2" t="s">
        <v>977</v>
      </c>
      <c r="B3650" s="2" t="str">
        <f>HYPERLINK("https://infotel.ca/newsitem/world-briefly/cp1479275592")</f>
        <v>https://infotel.ca/newsitem/world-briefly/cp1479275592</v>
      </c>
      <c r="C3650" s="2" t="s">
        <v>2434</v>
      </c>
      <c r="D3650" s="3">
        <v>45637.003483796303</v>
      </c>
      <c r="E3650" s="2" t="s">
        <v>38</v>
      </c>
    </row>
    <row r="3651" spans="1:5" ht="42" x14ac:dyDescent="0.2">
      <c r="A3651" s="2" t="s">
        <v>977</v>
      </c>
      <c r="B3651" s="2" t="str">
        <f>HYPERLINK("https://www.dailymail.co.uk/wires/ap/article-14180489/AP-News-Brief-12-04-m-EST.html")</f>
        <v>https://www.dailymail.co.uk/wires/ap/article-14180489/AP-News-Brief-12-04-m-EST.html</v>
      </c>
      <c r="C3651" s="2" t="s">
        <v>3655</v>
      </c>
      <c r="D3651" s="3">
        <v>45637.009872685187</v>
      </c>
      <c r="E3651" s="2" t="s">
        <v>38</v>
      </c>
    </row>
    <row r="3652" spans="1:5" ht="42" x14ac:dyDescent="0.2">
      <c r="A3652" s="2" t="s">
        <v>977</v>
      </c>
      <c r="B3652" s="2" t="str">
        <f>HYPERLINK("https://ca.news.yahoo.com/ap-news-brief-12-04-050501380.html")</f>
        <v>https://ca.news.yahoo.com/ap-news-brief-12-04-050501380.html</v>
      </c>
      <c r="C3652" s="2" t="s">
        <v>3097</v>
      </c>
      <c r="D3652" s="3">
        <v>45637.010370370372</v>
      </c>
      <c r="E3652" s="2" t="s">
        <v>38</v>
      </c>
    </row>
    <row r="3653" spans="1:5" ht="42" x14ac:dyDescent="0.2">
      <c r="A3653" s="2" t="s">
        <v>977</v>
      </c>
      <c r="B3653" s="2" t="str">
        <f>HYPERLINK("https://www.winnipegfreepress.com/world/2024/12/10/ap-news-in-brief-at-1204-a-m-est-281")</f>
        <v>https://www.winnipegfreepress.com/world/2024/12/10/ap-news-in-brief-at-1204-a-m-est-281</v>
      </c>
      <c r="C3653" s="2" t="s">
        <v>2832</v>
      </c>
      <c r="D3653" s="3">
        <v>45637.010868055557</v>
      </c>
      <c r="E3653" s="2" t="s">
        <v>38</v>
      </c>
    </row>
    <row r="3654" spans="1:5" ht="56" x14ac:dyDescent="0.2">
      <c r="A3654" s="2" t="s">
        <v>977</v>
      </c>
      <c r="B3654" s="2" t="str">
        <f>HYPERLINK("https://www.galvnews.com/news_ap/nation/ap-news-in-brief-at-12-04-a-m-est/article_effaa815-a174-56dd-9480-90774635dc3e.html")</f>
        <v>https://www.galvnews.com/news_ap/nation/ap-news-in-brief-at-12-04-a-m-est/article_effaa815-a174-56dd-9480-90774635dc3e.html</v>
      </c>
      <c r="C3654" s="2" t="s">
        <v>2220</v>
      </c>
      <c r="D3654" s="3">
        <v>45637.011145833327</v>
      </c>
      <c r="E3654" s="2" t="s">
        <v>38</v>
      </c>
    </row>
    <row r="3655" spans="1:5" ht="42" x14ac:dyDescent="0.2">
      <c r="A3655" s="2" t="s">
        <v>977</v>
      </c>
      <c r="B3655" s="2" t="str">
        <f>HYPERLINK("https://halifax.citynews.ca/2024/12/11/ap-news-in-brief-at-1204-a-m-est-606/")</f>
        <v>https://halifax.citynews.ca/2024/12/11/ap-news-in-brief-at-1204-a-m-est-606/</v>
      </c>
      <c r="C3655" s="2" t="s">
        <v>2346</v>
      </c>
      <c r="D3655" s="3">
        <v>45637.012719907398</v>
      </c>
      <c r="E3655" s="2" t="s">
        <v>38</v>
      </c>
    </row>
    <row r="3656" spans="1:5" ht="56" x14ac:dyDescent="0.2">
      <c r="A3656" s="2" t="s">
        <v>977</v>
      </c>
      <c r="B3656" s="2" t="str">
        <f>HYPERLINK("https://www.bdtonline.com/news/nation_world/ap-news-in-brief-at-12-04-a-m-est/article_22a8b646-2e6b-50a9-a397-eb16403afa5a.html")</f>
        <v>https://www.bdtonline.com/news/nation_world/ap-news-in-brief-at-12-04-a-m-est/article_22a8b646-2e6b-50a9-a397-eb16403afa5a.html</v>
      </c>
      <c r="C3656" s="2" t="s">
        <v>1949</v>
      </c>
      <c r="D3656" s="3">
        <v>45637.014421296299</v>
      </c>
      <c r="E3656" s="2" t="s">
        <v>38</v>
      </c>
    </row>
    <row r="3657" spans="1:5" ht="56" x14ac:dyDescent="0.2">
      <c r="A3657" s="2" t="s">
        <v>977</v>
      </c>
      <c r="B3657" s="2" t="str">
        <f>HYPERLINK("https://www.thetimestribune.com/news/national_news/ap-news-in-brief-at-12-04-a-m-est/article_7efa5521-55ba-5b5b-aa37-0c0ad0b9a3fd.html")</f>
        <v>https://www.thetimestribune.com/news/national_news/ap-news-in-brief-at-12-04-a-m-est/article_7efa5521-55ba-5b5b-aa37-0c0ad0b9a3fd.html</v>
      </c>
      <c r="C3657" s="2" t="s">
        <v>1106</v>
      </c>
      <c r="D3657" s="3">
        <v>45637.039212962962</v>
      </c>
      <c r="E3657" s="2" t="s">
        <v>38</v>
      </c>
    </row>
    <row r="3658" spans="1:5" ht="56" x14ac:dyDescent="0.2">
      <c r="A3658" s="2" t="s">
        <v>977</v>
      </c>
      <c r="B3658" s="2" t="str">
        <f>HYPERLINK("https://www.starbeacon.com/region/ap-news-in-brief-at-12-04-a-m-est/article_f31c8814-0581-51c1-af0f-3b27f5f092f6.html")</f>
        <v>https://www.starbeacon.com/region/ap-news-in-brief-at-12-04-a-m-est/article_f31c8814-0581-51c1-af0f-3b27f5f092f6.html</v>
      </c>
      <c r="C3658" s="2" t="s">
        <v>1784</v>
      </c>
      <c r="D3658" s="3">
        <v>45637.059004629627</v>
      </c>
      <c r="E3658" s="2" t="s">
        <v>38</v>
      </c>
    </row>
    <row r="3659" spans="1:5" ht="56" x14ac:dyDescent="0.2">
      <c r="A3659" s="2" t="s">
        <v>977</v>
      </c>
      <c r="B3659" s="2" t="str">
        <f>HYPERLINK("https://www.recorderonline.com/news/national_news/ap-news-in-brief-at-12-04-a-m-est/article_db1c6f55-7c6b-50a0-b657-96d332c68225.html")</f>
        <v>https://www.recorderonline.com/news/national_news/ap-news-in-brief-at-12-04-a-m-est/article_db1c6f55-7c6b-50a0-b657-96d332c68225.html</v>
      </c>
      <c r="C3659" s="2" t="s">
        <v>1658</v>
      </c>
      <c r="D3659" s="3">
        <v>45637.060648148137</v>
      </c>
      <c r="E3659" s="2" t="s">
        <v>38</v>
      </c>
    </row>
    <row r="3660" spans="1:5" ht="56" x14ac:dyDescent="0.2">
      <c r="A3660" s="2" t="s">
        <v>1502</v>
      </c>
      <c r="B3660" s="2" t="str">
        <f>HYPERLINK("https://time.news/2025-dietary-guidelines-more-beans-less-meat-but-no-word-on-ultraprocessed-foods-or-alcohol/")</f>
        <v>https://time.news/2025-dietary-guidelines-more-beans-less-meat-but-no-word-on-ultraprocessed-foods-or-alcohol/</v>
      </c>
      <c r="C3660" s="2" t="s">
        <v>1497</v>
      </c>
      <c r="D3660" s="3">
        <v>45637.066041666672</v>
      </c>
      <c r="E3660" s="2" t="s">
        <v>1503</v>
      </c>
    </row>
    <row r="3661" spans="1:5" ht="70" x14ac:dyDescent="0.2">
      <c r="A3661" s="2" t="s">
        <v>977</v>
      </c>
      <c r="B3661" s="2" t="str">
        <f>HYPERLINK("https://www.woonsocketcall.com/news/national_and_world_news/ap-news-in-brief-at-12-04-a-m-est/article_1a5c764d-3ad3-5573-9f71-547b6b34df53.html")</f>
        <v>https://www.woonsocketcall.com/news/national_and_world_news/ap-news-in-brief-at-12-04-a-m-est/article_1a5c764d-3ad3-5573-9f71-547b6b34df53.html</v>
      </c>
      <c r="C3661" s="2" t="s">
        <v>978</v>
      </c>
      <c r="D3661" s="3">
        <v>45637.090243055558</v>
      </c>
      <c r="E3661" s="2" t="s">
        <v>38</v>
      </c>
    </row>
    <row r="3662" spans="1:5" ht="56" x14ac:dyDescent="0.2">
      <c r="A3662" s="2" t="s">
        <v>977</v>
      </c>
      <c r="B3662" s="2" t="str">
        <f>HYPERLINK("https://www.thecanadianpressnews.ca/world/ap-news-in-brief-at-12-04-a-m-est/article_d4726fe7-c711-52b8-ab9e-0b7f4956142a.html")</f>
        <v>https://www.thecanadianpressnews.ca/world/ap-news-in-brief-at-12-04-a-m-est/article_d4726fe7-c711-52b8-ab9e-0b7f4956142a.html</v>
      </c>
      <c r="C3662" s="2" t="s">
        <v>1737</v>
      </c>
      <c r="D3662" s="3">
        <v>45637.093402777777</v>
      </c>
      <c r="E3662" s="2" t="s">
        <v>38</v>
      </c>
    </row>
    <row r="3663" spans="1:5" ht="56" x14ac:dyDescent="0.2">
      <c r="A3663" s="2" t="s">
        <v>1688</v>
      </c>
      <c r="B3663" s="2" t="str">
        <f>HYPERLINK("https://www.thecanadianpressnews.ca/world/ap-news-in-brief-at-11-04-p-m-est/article_e5f63a63-a9fd-50c5-9240-6c4db7d9ca16.html")</f>
        <v>https://www.thecanadianpressnews.ca/world/ap-news-in-brief-at-11-04-p-m-est/article_e5f63a63-a9fd-50c5-9240-6c4db7d9ca16.html</v>
      </c>
      <c r="C3663" s="2" t="s">
        <v>1737</v>
      </c>
      <c r="D3663" s="3">
        <v>45637.095821759263</v>
      </c>
      <c r="E3663" s="2" t="s">
        <v>38</v>
      </c>
    </row>
    <row r="3664" spans="1:5" ht="56" x14ac:dyDescent="0.2">
      <c r="A3664" s="2" t="s">
        <v>977</v>
      </c>
      <c r="B3664" s="2" t="str">
        <f>HYPERLINK("https://www.ottumwacourier.com/news/national_news/ap-news-in-brief-at-12-04-a-m-est/article_df2fa9c9-1f98-5e4b-8730-6656b390ea62.html")</f>
        <v>https://www.ottumwacourier.com/news/national_news/ap-news-in-brief-at-12-04-a-m-est/article_df2fa9c9-1f98-5e4b-8730-6656b390ea62.html</v>
      </c>
      <c r="C3664" s="2" t="s">
        <v>1504</v>
      </c>
      <c r="D3664" s="3">
        <v>45637.114710648151</v>
      </c>
      <c r="E3664" s="2" t="s">
        <v>38</v>
      </c>
    </row>
    <row r="3665" spans="1:5" ht="70" x14ac:dyDescent="0.2">
      <c r="A3665" s="2" t="s">
        <v>1386</v>
      </c>
      <c r="B3665" s="2" t="str">
        <f>HYPERLINK("https://news.knowledia.com/US/en/articles/more-beans-less-red-meat-nutritionists-weigh-in-on-us-dietary-3f3435aad1155cff6c498ce756d6181c44f09c90")</f>
        <v>https://news.knowledia.com/US/en/articles/more-beans-less-red-meat-nutritionists-weigh-in-on-us-dietary-3f3435aad1155cff6c498ce756d6181c44f09c90</v>
      </c>
      <c r="C3665" s="2" t="s">
        <v>1384</v>
      </c>
      <c r="D3665" s="3">
        <v>45637.137881944444</v>
      </c>
      <c r="E3665" s="2" t="s">
        <v>1387</v>
      </c>
    </row>
    <row r="3666" spans="1:5" ht="56" x14ac:dyDescent="0.2">
      <c r="A3666" s="2" t="s">
        <v>292</v>
      </c>
      <c r="B3666" s="2" t="str">
        <f>HYPERLINK("https://www.breitbart.com/news/more-beans-and-less-red-meat-nutrition-experts-weigh-in-on-us-dietary-guidelines/")</f>
        <v>https://www.breitbart.com/news/more-beans-and-less-red-meat-nutrition-experts-weigh-in-on-us-dietary-guidelines/</v>
      </c>
      <c r="C3666" s="2" t="s">
        <v>3202</v>
      </c>
      <c r="D3666" s="3">
        <v>45637.140949074077</v>
      </c>
      <c r="E3666" s="2" t="s">
        <v>38</v>
      </c>
    </row>
    <row r="3667" spans="1:5" ht="56" x14ac:dyDescent="0.2">
      <c r="A3667" s="2" t="s">
        <v>122</v>
      </c>
      <c r="B3667" s="2" t="str">
        <f>HYPERLINK("http://more961.com/news/030030-more-beans-and-less-red-meat-nutritionists-weigh-in-on-us-dietary-guidelines/")</f>
        <v>http://more961.com/news/030030-more-beans-and-less-red-meat-nutritionists-weigh-in-on-us-dietary-guidelines/</v>
      </c>
      <c r="C3667" s="2" t="s">
        <v>546</v>
      </c>
      <c r="D3667" s="3">
        <v>45637.160312499997</v>
      </c>
      <c r="E3667" s="2" t="s">
        <v>38</v>
      </c>
    </row>
    <row r="3668" spans="1:5" ht="56" x14ac:dyDescent="0.2">
      <c r="A3668" s="2" t="s">
        <v>355</v>
      </c>
      <c r="B3668" s="2" t="str">
        <f>HYPERLINK("http://myez997.com/news/030030-more-beans-and-less-red-meat-nutritionists-weigh-in-on-us-dietary-guidelines/")</f>
        <v>http://myez997.com/news/030030-more-beans-and-less-red-meat-nutritionists-weigh-in-on-us-dietary-guidelines/</v>
      </c>
      <c r="C3668" s="2" t="s">
        <v>356</v>
      </c>
      <c r="D3668" s="3">
        <v>45637.185972222222</v>
      </c>
      <c r="E3668" s="2" t="s">
        <v>38</v>
      </c>
    </row>
    <row r="3669" spans="1:5" ht="84" x14ac:dyDescent="0.2">
      <c r="A3669" s="2" t="s">
        <v>4192</v>
      </c>
      <c r="B3669" s="2" t="str">
        <f>HYPERLINK("https://conscienhealth.org/2024/12/a-modest-proposal-from-the-dietary-guidelines-committee/")</f>
        <v>https://conscienhealth.org/2024/12/a-modest-proposal-from-the-dietary-guidelines-committee/</v>
      </c>
      <c r="C3669" s="2" t="s">
        <v>4193</v>
      </c>
      <c r="D3669" s="3">
        <v>45637.273819444446</v>
      </c>
      <c r="E3669" s="2" t="s">
        <v>4194</v>
      </c>
    </row>
    <row r="3670" spans="1:5" ht="70" x14ac:dyDescent="0.2">
      <c r="A3670" s="2" t="s">
        <v>3640</v>
      </c>
      <c r="B3670" s="2" t="str">
        <f>HYPERLINK("https://www.washingtonpost.com/wellness/2024/12/11/ultraprocessed-foods-plant-protein-dietary-guidelines/")</f>
        <v>https://www.washingtonpost.com/wellness/2024/12/11/ultraprocessed-foods-plant-protein-dietary-guidelines/</v>
      </c>
      <c r="C3670" s="2" t="s">
        <v>3634</v>
      </c>
      <c r="D3670" s="3">
        <v>45637.306631944448</v>
      </c>
      <c r="E3670" s="2" t="s">
        <v>3641</v>
      </c>
    </row>
    <row r="3671" spans="1:5" ht="56" x14ac:dyDescent="0.2">
      <c r="A3671" s="2" t="s">
        <v>1849</v>
      </c>
      <c r="B3671" s="2" t="str">
        <f>HYPERLINK("https://www.thenationalherald.com/more-beans-and-less-red-meat-nutrition-experts-weigh-in-on-us-dietary-guidelines/")</f>
        <v>https://www.thenationalherald.com/more-beans-and-less-red-meat-nutrition-experts-weigh-in-on-us-dietary-guidelines/</v>
      </c>
      <c r="C3671" s="2" t="s">
        <v>1850</v>
      </c>
      <c r="D3671" s="3">
        <v>45637.313344907408</v>
      </c>
      <c r="E3671" s="2" t="s">
        <v>38</v>
      </c>
    </row>
    <row r="3672" spans="1:5" ht="56" x14ac:dyDescent="0.2">
      <c r="A3672" s="2" t="s">
        <v>292</v>
      </c>
      <c r="B3672" s="2" t="str">
        <f>HYPERLINK("https://www.nbcbayarea.com/news/national-international/american-dietary-guidelines-more-beans-less-red-meat/3733740/")</f>
        <v>https://www.nbcbayarea.com/news/national-international/american-dietary-guidelines-more-beans-less-red-meat/3733740/</v>
      </c>
      <c r="C3672" s="2" t="s">
        <v>3042</v>
      </c>
      <c r="D3672" s="3">
        <v>45637.348101851851</v>
      </c>
      <c r="E3672" s="2" t="s">
        <v>38</v>
      </c>
    </row>
    <row r="3673" spans="1:5" ht="70" x14ac:dyDescent="0.2">
      <c r="A3673" s="2" t="s">
        <v>292</v>
      </c>
      <c r="B3673" s="2" t="str">
        <f>HYPERLINK("https://news.knowledia.com/US/en/articles/more-beans-and-less-red-meat-nutrition-experts-weigh-in-on-us-dietary-e0cec24ff16c44c269ce3457cba5d0398a273883")</f>
        <v>https://news.knowledia.com/US/en/articles/more-beans-and-less-red-meat-nutrition-experts-weigh-in-on-us-dietary-e0cec24ff16c44c269ce3457cba5d0398a273883</v>
      </c>
      <c r="C3673" s="2" t="s">
        <v>1384</v>
      </c>
      <c r="D3673" s="3">
        <v>45637.353506944448</v>
      </c>
      <c r="E3673" s="2" t="s">
        <v>38</v>
      </c>
    </row>
    <row r="3674" spans="1:5" ht="42" x14ac:dyDescent="0.2">
      <c r="A3674" s="2" t="s">
        <v>2490</v>
      </c>
      <c r="B3674" s="2" t="str">
        <f>HYPERLINK("https://www.arabtimesonline.com/news/us-new-dietary-guidelines-more-beans-and-less-red-meat/")</f>
        <v>https://www.arabtimesonline.com/news/us-new-dietary-guidelines-more-beans-and-less-red-meat/</v>
      </c>
      <c r="C3674" s="2" t="s">
        <v>2371</v>
      </c>
      <c r="D3674" s="3">
        <v>45637.356249999997</v>
      </c>
      <c r="E3674" s="2" t="s">
        <v>38</v>
      </c>
    </row>
    <row r="3675" spans="1:5" ht="56" x14ac:dyDescent="0.2">
      <c r="A3675" s="2" t="s">
        <v>292</v>
      </c>
      <c r="B3675" s="2" t="str">
        <f>HYPERLINK("https://wgntv.com/news/medical-watch/ap-more-beans-and-less-red-meat-nutritionists-weigh-in-on-us-dietary-guidelines/")</f>
        <v>https://wgntv.com/news/medical-watch/ap-more-beans-and-less-red-meat-nutritionists-weigh-in-on-us-dietary-guidelines/</v>
      </c>
      <c r="C3675" s="2" t="s">
        <v>3128</v>
      </c>
      <c r="D3675" s="3">
        <v>45637.38958333333</v>
      </c>
      <c r="E3675" s="2" t="s">
        <v>38</v>
      </c>
    </row>
    <row r="3676" spans="1:5" ht="70" x14ac:dyDescent="0.2">
      <c r="A3676" s="2" t="s">
        <v>122</v>
      </c>
      <c r="B3676" s="2" t="str">
        <f>HYPERLINK("https://billingsgazette.com/life-entertainment/nation-world/food-drink/food-nutrition-diet-health-wellness/article_7270aba4-c854-5070-8d66-d046b3d95985.html")</f>
        <v>https://billingsgazette.com/life-entertainment/nation-world/food-drink/food-nutrition-diet-health-wellness/article_7270aba4-c854-5070-8d66-d046b3d95985.html</v>
      </c>
      <c r="C3676" s="2" t="s">
        <v>2296</v>
      </c>
      <c r="D3676" s="3">
        <v>45637.399340277778</v>
      </c>
      <c r="E3676" s="2" t="s">
        <v>38</v>
      </c>
    </row>
    <row r="3677" spans="1:5" ht="70" x14ac:dyDescent="0.2">
      <c r="A3677" s="2" t="s">
        <v>963</v>
      </c>
      <c r="B3677" s="2" t="str">
        <f>HYPERLINK("https://greensboro.com/life-entertainment/nation-world/food-drink/food-nutrition-diet-health-wellness/article_7fe23a10-fc18-5b7b-abbe-d4a11d801680.html")</f>
        <v>https://greensboro.com/life-entertainment/nation-world/food-drink/food-nutrition-diet-health-wellness/article_7fe23a10-fc18-5b7b-abbe-d4a11d801680.html</v>
      </c>
      <c r="C3677" s="2" t="s">
        <v>2313</v>
      </c>
      <c r="D3677" s="3">
        <v>45637.400127314817</v>
      </c>
      <c r="E3677" s="2" t="s">
        <v>38</v>
      </c>
    </row>
    <row r="3678" spans="1:5" ht="70" x14ac:dyDescent="0.2">
      <c r="A3678" s="2" t="s">
        <v>963</v>
      </c>
      <c r="B3678" s="2" t="str">
        <f>HYPERLINK("https://kenoshanews.com/life-entertainment/nation-world/food-drink/food-nutrition-diet-health-wellness/article_5ebefa67-e5a4-5551-815b-1422a3312992.html")</f>
        <v>https://kenoshanews.com/life-entertainment/nation-world/food-drink/food-nutrition-diet-health-wellness/article_5ebefa67-e5a4-5551-815b-1422a3312992.html</v>
      </c>
      <c r="C3678" s="2" t="s">
        <v>2129</v>
      </c>
      <c r="D3678" s="3">
        <v>45637.400300925918</v>
      </c>
      <c r="E3678" s="2" t="s">
        <v>38</v>
      </c>
    </row>
    <row r="3679" spans="1:5" ht="70" x14ac:dyDescent="0.2">
      <c r="A3679" s="2" t="s">
        <v>122</v>
      </c>
      <c r="B3679" s="2" t="str">
        <f>HYPERLINK("https://bismarcktribune.com/life-entertainment/nation-world/food-drink/food-nutrition-diet-health-wellness/article_6c4bfe7b-8bcc-5107-a367-c2d2a5f531e3.html")</f>
        <v>https://bismarcktribune.com/life-entertainment/nation-world/food-drink/food-nutrition-diet-health-wellness/article_6c4bfe7b-8bcc-5107-a367-c2d2a5f531e3.html</v>
      </c>
      <c r="C3679" s="2" t="s">
        <v>1919</v>
      </c>
      <c r="D3679" s="3">
        <v>45637.400694444441</v>
      </c>
      <c r="E3679" s="2" t="s">
        <v>38</v>
      </c>
    </row>
    <row r="3680" spans="1:5" ht="70" x14ac:dyDescent="0.2">
      <c r="A3680" s="2" t="s">
        <v>122</v>
      </c>
      <c r="B3680" s="2" t="str">
        <f>HYPERLINK("https://omaha.com/life-entertainment/nation-world/food-drink/food-nutrition-diet-health-wellness/article_2e41fab5-0827-5558-8172-a1bde58b995a.html")</f>
        <v>https://omaha.com/life-entertainment/nation-world/food-drink/food-nutrition-diet-health-wellness/article_2e41fab5-0827-5558-8172-a1bde58b995a.html</v>
      </c>
      <c r="C3680" s="2" t="s">
        <v>2629</v>
      </c>
      <c r="D3680" s="3">
        <v>45637.400763888887</v>
      </c>
      <c r="E3680" s="2" t="s">
        <v>38</v>
      </c>
    </row>
    <row r="3681" spans="1:5" ht="70" x14ac:dyDescent="0.2">
      <c r="A3681" s="2" t="s">
        <v>122</v>
      </c>
      <c r="B3681" s="2" t="str">
        <f>HYPERLINK("https://jg-tc.com/life-entertainment/nation-world/food-drink/food-nutrition-diet-health-wellness/article_346747e2-010f-5d35-b3bb-f77dd0428650.html")</f>
        <v>https://jg-tc.com/life-entertainment/nation-world/food-drink/food-nutrition-diet-health-wellness/article_346747e2-010f-5d35-b3bb-f77dd0428650.html</v>
      </c>
      <c r="C3681" s="2" t="s">
        <v>1467</v>
      </c>
      <c r="D3681" s="3">
        <v>45637.400995370372</v>
      </c>
      <c r="E3681" s="2" t="s">
        <v>38</v>
      </c>
    </row>
    <row r="3682" spans="1:5" ht="70" x14ac:dyDescent="0.2">
      <c r="A3682" s="2" t="s">
        <v>122</v>
      </c>
      <c r="B3682" s="2" t="str">
        <f>HYPERLINK("https://statesville.com/life-entertainment/nation-world/food-drink/food-nutrition-diet-health-wellness/article_9d1f20bc-0c45-5283-8e82-be8a33909226.html")</f>
        <v>https://statesville.com/life-entertainment/nation-world/food-drink/food-nutrition-diet-health-wellness/article_9d1f20bc-0c45-5283-8e82-be8a33909226.html</v>
      </c>
      <c r="C3682" s="2" t="s">
        <v>1344</v>
      </c>
      <c r="D3682" s="3">
        <v>45637.401909722219</v>
      </c>
      <c r="E3682" s="2" t="s">
        <v>38</v>
      </c>
    </row>
    <row r="3683" spans="1:5" ht="70" x14ac:dyDescent="0.2">
      <c r="A3683" s="2" t="s">
        <v>122</v>
      </c>
      <c r="B3683" s="2" t="str">
        <f>HYPERLINK("https://independenttribune.com/life-entertainment/nation-world/food-drink/food-nutrition-diet-health-wellness/article_12f5a57a-0ec5-518a-8c8a-c17b7215bde1.html")</f>
        <v>https://independenttribune.com/life-entertainment/nation-world/food-drink/food-nutrition-diet-health-wellness/article_12f5a57a-0ec5-518a-8c8a-c17b7215bde1.html</v>
      </c>
      <c r="C3683" s="2" t="s">
        <v>1375</v>
      </c>
      <c r="D3683" s="3">
        <v>45637.401944444442</v>
      </c>
      <c r="E3683" s="2" t="s">
        <v>38</v>
      </c>
    </row>
    <row r="3684" spans="1:5" ht="70" x14ac:dyDescent="0.2">
      <c r="A3684" s="2" t="s">
        <v>122</v>
      </c>
      <c r="B3684" s="2" t="str">
        <f>HYPERLINK("https://beatricedailysun.com/life-entertainment/nation-world/food-drink/food-nutrition-diet-health-wellness/article_d5f1568d-ce8f-5a1b-9f0b-81774fcf063e.html")</f>
        <v>https://beatricedailysun.com/life-entertainment/nation-world/food-drink/food-nutrition-diet-health-wellness/article_d5f1568d-ce8f-5a1b-9f0b-81774fcf063e.html</v>
      </c>
      <c r="C3684" s="2" t="s">
        <v>1650</v>
      </c>
      <c r="D3684" s="3">
        <v>45637.401944444442</v>
      </c>
      <c r="E3684" s="2" t="s">
        <v>38</v>
      </c>
    </row>
    <row r="3685" spans="1:5" ht="70" x14ac:dyDescent="0.2">
      <c r="A3685" s="2" t="s">
        <v>122</v>
      </c>
      <c r="B3685" s="2" t="str">
        <f>HYPERLINK("https://rapidcityjournal.com/life-entertainment/nation-world/food-drink/food-nutrition-diet-health-wellness/article_c5bd4c0b-e67c-55ae-80a7-9da5b57acc86.html")</f>
        <v>https://rapidcityjournal.com/life-entertainment/nation-world/food-drink/food-nutrition-diet-health-wellness/article_c5bd4c0b-e67c-55ae-80a7-9da5b57acc86.html</v>
      </c>
      <c r="C3685" s="2" t="s">
        <v>2054</v>
      </c>
      <c r="D3685" s="3">
        <v>45637.402430555558</v>
      </c>
      <c r="E3685" s="2" t="s">
        <v>38</v>
      </c>
    </row>
    <row r="3686" spans="1:5" ht="70" x14ac:dyDescent="0.2">
      <c r="A3686" s="2" t="s">
        <v>122</v>
      </c>
      <c r="B3686" s="2" t="str">
        <f>HYPERLINK("https://scnow.com/life-entertainment/nation-world/food-drink/food-nutrition-diet-health-wellness/article_781fccc0-bc74-5297-82ea-26d75de0ff09.html")</f>
        <v>https://scnow.com/life-entertainment/nation-world/food-drink/food-nutrition-diet-health-wellness/article_781fccc0-bc74-5297-82ea-26d75de0ff09.html</v>
      </c>
      <c r="C3686" s="2" t="s">
        <v>1678</v>
      </c>
      <c r="D3686" s="3">
        <v>45637.402581018519</v>
      </c>
      <c r="E3686" s="2" t="s">
        <v>38</v>
      </c>
    </row>
    <row r="3687" spans="1:5" ht="70" x14ac:dyDescent="0.2">
      <c r="A3687" s="2" t="s">
        <v>122</v>
      </c>
      <c r="B3687" s="2" t="str">
        <f>HYPERLINK("https://democratherald.com/life-entertainment/nation-world/food-drink/food-nutrition-diet-health-wellness/article_9f38484a-1862-556a-98ff-3ac3c5915c9f.html")</f>
        <v>https://democratherald.com/life-entertainment/nation-world/food-drink/food-nutrition-diet-health-wellness/article_9f38484a-1862-556a-98ff-3ac3c5915c9f.html</v>
      </c>
      <c r="C3687" s="2" t="s">
        <v>1590</v>
      </c>
      <c r="D3687" s="3">
        <v>45637.402824074074</v>
      </c>
      <c r="E3687" s="2" t="s">
        <v>38</v>
      </c>
    </row>
    <row r="3688" spans="1:5" ht="70" x14ac:dyDescent="0.2">
      <c r="A3688" s="2" t="s">
        <v>122</v>
      </c>
      <c r="B3688" s="2" t="str">
        <f>HYPERLINK("https://ravallirepublic.com/life-entertainment/nation-world/food-drink/food-nutrition-diet-health-wellness/article_41131c1d-fb6d-5f9f-9120-d41d21cbba64.html")</f>
        <v>https://ravallirepublic.com/life-entertainment/nation-world/food-drink/food-nutrition-diet-health-wellness/article_41131c1d-fb6d-5f9f-9120-d41d21cbba64.html</v>
      </c>
      <c r="C3688" s="2" t="s">
        <v>1670</v>
      </c>
      <c r="D3688" s="3">
        <v>45637.403229166674</v>
      </c>
      <c r="E3688" s="2" t="s">
        <v>38</v>
      </c>
    </row>
    <row r="3689" spans="1:5" ht="70" x14ac:dyDescent="0.2">
      <c r="A3689" s="2" t="s">
        <v>122</v>
      </c>
      <c r="B3689" s="2" t="str">
        <f>HYPERLINK("https://roanoke.com/life-entertainment/nation-world/food-drink/food-nutrition-diet-health-wellness/article_d20d0d01-fe13-56e8-b333-33eca13beaa1.html")</f>
        <v>https://roanoke.com/life-entertainment/nation-world/food-drink/food-nutrition-diet-health-wellness/article_d20d0d01-fe13-56e8-b333-33eca13beaa1.html</v>
      </c>
      <c r="C3689" s="2" t="s">
        <v>2325</v>
      </c>
      <c r="D3689" s="3">
        <v>45637.403599537043</v>
      </c>
      <c r="E3689" s="2" t="s">
        <v>38</v>
      </c>
    </row>
    <row r="3690" spans="1:5" ht="70" x14ac:dyDescent="0.2">
      <c r="A3690" s="2" t="s">
        <v>122</v>
      </c>
      <c r="B3690" s="2" t="str">
        <f>HYPERLINK("https://journalstar.com/life-entertainment/nation-world/food-drink/food-nutrition-diet-health-wellness/article_ab71f1f2-5a5c-50af-9cd4-b57dc7e7f6f7.html")</f>
        <v>https://journalstar.com/life-entertainment/nation-world/food-drink/food-nutrition-diet-health-wellness/article_ab71f1f2-5a5c-50af-9cd4-b57dc7e7f6f7.html</v>
      </c>
      <c r="C3690" s="2" t="s">
        <v>2562</v>
      </c>
      <c r="D3690" s="3">
        <v>45637.403749999998</v>
      </c>
      <c r="E3690" s="2" t="s">
        <v>38</v>
      </c>
    </row>
    <row r="3691" spans="1:5" ht="70" x14ac:dyDescent="0.2">
      <c r="A3691" s="2" t="s">
        <v>122</v>
      </c>
      <c r="B3691" s="2" t="str">
        <f>HYPERLINK("https://cumberlink.com/life-entertainment/nation-world/food-drink/food-nutrition-diet-health-wellness/article_9bf3707b-6b43-50a4-aa84-93d2ea0a1686.html")</f>
        <v>https://cumberlink.com/life-entertainment/nation-world/food-drink/food-nutrition-diet-health-wellness/article_9bf3707b-6b43-50a4-aa84-93d2ea0a1686.html</v>
      </c>
      <c r="C3691" s="2" t="s">
        <v>1468</v>
      </c>
      <c r="D3691" s="3">
        <v>45637.404143518521</v>
      </c>
      <c r="E3691" s="2" t="s">
        <v>38</v>
      </c>
    </row>
    <row r="3692" spans="1:5" ht="70" x14ac:dyDescent="0.2">
      <c r="A3692" s="2" t="s">
        <v>122</v>
      </c>
      <c r="B3692" s="2" t="str">
        <f>HYPERLINK("https://siouxcityjournal.com/life-entertainment/nation-world/food-drink/food-nutrition-diet-health-wellness/article_596616a0-1bb1-599a-941b-50b4b79ad279.html")</f>
        <v>https://siouxcityjournal.com/life-entertainment/nation-world/food-drink/food-nutrition-diet-health-wellness/article_596616a0-1bb1-599a-941b-50b4b79ad279.html</v>
      </c>
      <c r="C3692" s="2" t="s">
        <v>2077</v>
      </c>
      <c r="D3692" s="3">
        <v>45637.404340277782</v>
      </c>
      <c r="E3692" s="2" t="s">
        <v>38</v>
      </c>
    </row>
    <row r="3693" spans="1:5" ht="70" x14ac:dyDescent="0.2">
      <c r="A3693" s="2" t="s">
        <v>122</v>
      </c>
      <c r="B3693" s="2" t="str">
        <f>HYPERLINK("https://herald-review.com/life-entertainment/nation-world/food-drink/food-nutrition-diet-health-wellness/article_9393bd9c-9d49-58b0-9b8a-b88b98b50edd.html")</f>
        <v>https://herald-review.com/life-entertainment/nation-world/food-drink/food-nutrition-diet-health-wellness/article_9393bd9c-9d49-58b0-9b8a-b88b98b50edd.html</v>
      </c>
      <c r="C3693" s="2" t="s">
        <v>1657</v>
      </c>
      <c r="D3693" s="3">
        <v>45637.404398148137</v>
      </c>
      <c r="E3693" s="2" t="s">
        <v>38</v>
      </c>
    </row>
    <row r="3694" spans="1:5" ht="70" x14ac:dyDescent="0.2">
      <c r="A3694" s="2" t="s">
        <v>122</v>
      </c>
      <c r="B3694" s="2" t="str">
        <f>HYPERLINK("https://lacrossetribune.com/life-entertainment/nation-world/food-drink/food-nutrition-diet-health-wellness/article_70ee7b2a-bdc7-54bf-abdd-cf56dc4ba4b2.html")</f>
        <v>https://lacrossetribune.com/life-entertainment/nation-world/food-drink/food-nutrition-diet-health-wellness/article_70ee7b2a-bdc7-54bf-abdd-cf56dc4ba4b2.html</v>
      </c>
      <c r="C3694" s="2" t="s">
        <v>2204</v>
      </c>
      <c r="D3694" s="3">
        <v>45637.404537037037</v>
      </c>
      <c r="E3694" s="2" t="s">
        <v>38</v>
      </c>
    </row>
    <row r="3695" spans="1:5" ht="70" x14ac:dyDescent="0.2">
      <c r="A3695" s="2" t="s">
        <v>122</v>
      </c>
      <c r="B3695" s="2" t="str">
        <f>HYPERLINK("https://theindependent.com/life-entertainment/nation-world/food-drink/food-nutrition-diet-health-wellness/article_651489fd-3fe6-5e93-a3b8-2c12c89ca27f.html")</f>
        <v>https://theindependent.com/life-entertainment/nation-world/food-drink/food-nutrition-diet-health-wellness/article_651489fd-3fe6-5e93-a3b8-2c12c89ca27f.html</v>
      </c>
      <c r="C3695" s="2" t="s">
        <v>1864</v>
      </c>
      <c r="D3695" s="3">
        <v>45637.404803240737</v>
      </c>
      <c r="E3695" s="2" t="s">
        <v>38</v>
      </c>
    </row>
    <row r="3696" spans="1:5" ht="70" x14ac:dyDescent="0.2">
      <c r="A3696" s="2" t="s">
        <v>122</v>
      </c>
      <c r="B3696" s="2" t="str">
        <f>HYPERLINK("https://martinsvillebulletin.com/life-entertainment/nation-world/food-drink/food-nutrition-diet-health-wellness/article_89e622fc-284f-5b66-a8b9-28f4d0f316ff.html")</f>
        <v>https://martinsvillebulletin.com/life-entertainment/nation-world/food-drink/food-nutrition-diet-health-wellness/article_89e622fc-284f-5b66-a8b9-28f4d0f316ff.html</v>
      </c>
      <c r="C3696" s="2" t="s">
        <v>1567</v>
      </c>
      <c r="D3696" s="3">
        <v>45637.405358796299</v>
      </c>
      <c r="E3696" s="2" t="s">
        <v>38</v>
      </c>
    </row>
    <row r="3697" spans="1:5" ht="70" x14ac:dyDescent="0.2">
      <c r="A3697" s="2" t="s">
        <v>122</v>
      </c>
      <c r="B3697" s="2" t="str">
        <f>HYPERLINK("https://muscatinejournal.com/life-entertainment/nation-world/food-drink/food-nutrition-diet-health-wellness/article_5228e4f8-4e1f-5fec-9f4d-d3eb77963ace.html")</f>
        <v>https://muscatinejournal.com/life-entertainment/nation-world/food-drink/food-nutrition-diet-health-wellness/article_5228e4f8-4e1f-5fec-9f4d-d3eb77963ace.html</v>
      </c>
      <c r="C3697" s="2" t="s">
        <v>1016</v>
      </c>
      <c r="D3697" s="3">
        <v>45637.4059837963</v>
      </c>
      <c r="E3697" s="2" t="s">
        <v>38</v>
      </c>
    </row>
    <row r="3698" spans="1:5" ht="70" x14ac:dyDescent="0.2">
      <c r="A3698" s="2" t="s">
        <v>122</v>
      </c>
      <c r="B3698" s="2" t="str">
        <f>HYPERLINK("https://nonpareilonline.com/life-entertainment/nation-world/food-drink/food-nutrition-diet-health-wellness/article_ab205346-fe22-5d03-aad8-794739370bdc.html")</f>
        <v>https://nonpareilonline.com/life-entertainment/nation-world/food-drink/food-nutrition-diet-health-wellness/article_ab205346-fe22-5d03-aad8-794739370bdc.html</v>
      </c>
      <c r="C3698" s="2" t="s">
        <v>1371</v>
      </c>
      <c r="D3698" s="3">
        <v>45637.406990740739</v>
      </c>
      <c r="E3698" s="2" t="s">
        <v>38</v>
      </c>
    </row>
    <row r="3699" spans="1:5" ht="70" x14ac:dyDescent="0.2">
      <c r="A3699" s="2" t="s">
        <v>122</v>
      </c>
      <c r="B3699" s="2" t="str">
        <f>HYPERLINK("https://gazettetimes.com/life-entertainment/nation-world/food-drink/food-nutrition-diet-health-wellness/article_60c47c27-c3e6-58c8-89ad-fc86cf80b61a.html")</f>
        <v>https://gazettetimes.com/life-entertainment/nation-world/food-drink/food-nutrition-diet-health-wellness/article_60c47c27-c3e6-58c8-89ad-fc86cf80b61a.html</v>
      </c>
      <c r="C3699" s="2" t="s">
        <v>2055</v>
      </c>
      <c r="D3699" s="3">
        <v>45637.407048611109</v>
      </c>
      <c r="E3699" s="2" t="s">
        <v>38</v>
      </c>
    </row>
    <row r="3700" spans="1:5" ht="70" x14ac:dyDescent="0.2">
      <c r="A3700" s="2" t="s">
        <v>122</v>
      </c>
      <c r="B3700" s="2" t="str">
        <f>HYPERLINK("https://winonadailynews.com/life-entertainment/nation-world/food-drink/food-nutrition-diet-health-wellness/article_bd6187a9-e5b5-52da-a7c8-2115d0d29483.html")</f>
        <v>https://winonadailynews.com/life-entertainment/nation-world/food-drink/food-nutrition-diet-health-wellness/article_bd6187a9-e5b5-52da-a7c8-2115d0d29483.html</v>
      </c>
      <c r="C3700" s="2" t="s">
        <v>1508</v>
      </c>
      <c r="D3700" s="3">
        <v>45637.407083333332</v>
      </c>
      <c r="E3700" s="2" t="s">
        <v>38</v>
      </c>
    </row>
    <row r="3701" spans="1:5" ht="70" x14ac:dyDescent="0.2">
      <c r="A3701" s="2" t="s">
        <v>122</v>
      </c>
      <c r="B3701" s="2" t="str">
        <f>HYPERLINK("https://tdn.com/life-entertainment/nation-world/food-drink/food-nutrition-diet-health-wellness/article_494a4122-c6ac-571f-ba9c-571a8dce1ffc.html")</f>
        <v>https://tdn.com/life-entertainment/nation-world/food-drink/food-nutrition-diet-health-wellness/article_494a4122-c6ac-571f-ba9c-571a8dce1ffc.html</v>
      </c>
      <c r="C3701" s="2" t="s">
        <v>2086</v>
      </c>
      <c r="D3701" s="3">
        <v>45637.407083333332</v>
      </c>
      <c r="E3701" s="2" t="s">
        <v>38</v>
      </c>
    </row>
    <row r="3702" spans="1:5" ht="70" x14ac:dyDescent="0.2">
      <c r="A3702" s="2" t="s">
        <v>122</v>
      </c>
      <c r="B3702" s="2" t="str">
        <f>HYPERLINK("https://mcdowellnews.com/life-entertainment/nation-world/food-drink/food-nutrition-diet-health-wellness/article_060cdfff-ee1c-5ee9-8275-8e4ed7ec1cd3.html")</f>
        <v>https://mcdowellnews.com/life-entertainment/nation-world/food-drink/food-nutrition-diet-health-wellness/article_060cdfff-ee1c-5ee9-8275-8e4ed7ec1cd3.html</v>
      </c>
      <c r="C3702" s="2" t="s">
        <v>1317</v>
      </c>
      <c r="D3702" s="3">
        <v>45637.407118055547</v>
      </c>
      <c r="E3702" s="2" t="s">
        <v>38</v>
      </c>
    </row>
    <row r="3703" spans="1:5" ht="70" x14ac:dyDescent="0.2">
      <c r="A3703" s="2" t="s">
        <v>122</v>
      </c>
      <c r="B3703" s="2" t="str">
        <f>HYPERLINK("https://tucson.com/life-entertainment/nation-world/food-drink/food-nutrition-diet-health-wellness/article_36a01f48-812b-5898-a071-76fd7f8fc0e4.html")</f>
        <v>https://tucson.com/life-entertainment/nation-world/food-drink/food-nutrition-diet-health-wellness/article_36a01f48-812b-5898-a071-76fd7f8fc0e4.html</v>
      </c>
      <c r="C3703" s="2" t="s">
        <v>2759</v>
      </c>
      <c r="D3703" s="3">
        <v>45637.407129629632</v>
      </c>
      <c r="E3703" s="2" t="s">
        <v>38</v>
      </c>
    </row>
    <row r="3704" spans="1:5" ht="70" x14ac:dyDescent="0.2">
      <c r="A3704" s="2" t="s">
        <v>122</v>
      </c>
      <c r="B3704" s="2" t="str">
        <f>HYPERLINK("https://starexponent.com/life-entertainment/nation-world/food-drink/food-nutrition-diet-health-wellness/article_4c46b6c4-ad54-5ade-8e64-57c27a852291.html")</f>
        <v>https://starexponent.com/life-entertainment/nation-world/food-drink/food-nutrition-diet-health-wellness/article_4c46b6c4-ad54-5ade-8e64-57c27a852291.html</v>
      </c>
      <c r="C3704" s="2" t="s">
        <v>1638</v>
      </c>
      <c r="D3704" s="3">
        <v>45637.407141203701</v>
      </c>
      <c r="E3704" s="2" t="s">
        <v>38</v>
      </c>
    </row>
    <row r="3705" spans="1:5" ht="70" x14ac:dyDescent="0.2">
      <c r="A3705" s="2" t="s">
        <v>122</v>
      </c>
      <c r="B3705" s="2" t="str">
        <f>HYPERLINK("https://journaltimes.com/life-entertainment/nation-world/food-drink/food-nutrition-diet-health-wellness/article_45f79c7a-f926-5c29-9a71-855c8bd289da.html")</f>
        <v>https://journaltimes.com/life-entertainment/nation-world/food-drink/food-nutrition-diet-health-wellness/article_45f79c7a-f926-5c29-9a71-855c8bd289da.html</v>
      </c>
      <c r="C3705" s="2" t="s">
        <v>1939</v>
      </c>
      <c r="D3705" s="3">
        <v>45637.407256944447</v>
      </c>
      <c r="E3705" s="2" t="s">
        <v>38</v>
      </c>
    </row>
    <row r="3706" spans="1:5" ht="42" x14ac:dyDescent="0.2">
      <c r="A3706" s="2" t="s">
        <v>2236</v>
      </c>
      <c r="B3706" s="2" t="str">
        <f>HYPERLINK("https://usa.inquirer.net/161952/more-beans-and-less-red-meat-experts-weigh-in-on-us-dietary-guidelines")</f>
        <v>https://usa.inquirer.net/161952/more-beans-and-less-red-meat-experts-weigh-in-on-us-dietary-guidelines</v>
      </c>
      <c r="C3706" s="2" t="s">
        <v>2237</v>
      </c>
      <c r="D3706" s="3">
        <v>45637.407523148147</v>
      </c>
      <c r="E3706" s="2" t="s">
        <v>38</v>
      </c>
    </row>
    <row r="3707" spans="1:5" ht="70" x14ac:dyDescent="0.2">
      <c r="A3707" s="2" t="s">
        <v>122</v>
      </c>
      <c r="B3707" s="2" t="str">
        <f>HYPERLINK("https://oanow.com/life-entertainment/nation-world/food-drink/food-nutrition-diet-health-wellness/article_ac479937-d09a-5530-b637-bb79dca7f52a.html")</f>
        <v>https://oanow.com/life-entertainment/nation-world/food-drink/food-nutrition-diet-health-wellness/article_ac479937-d09a-5530-b637-bb79dca7f52a.html</v>
      </c>
      <c r="C3707" s="2" t="s">
        <v>1733</v>
      </c>
      <c r="D3707" s="3">
        <v>45637.40766203704</v>
      </c>
      <c r="E3707" s="2" t="s">
        <v>38</v>
      </c>
    </row>
    <row r="3708" spans="1:5" ht="42" x14ac:dyDescent="0.2">
      <c r="A3708" s="2" t="s">
        <v>292</v>
      </c>
      <c r="B3708" s="2" t="str">
        <f>HYPERLINK("https://www.wvua23.com/more-beans-and-less-red-meat-nutrition-experts-weigh-in-on-us-dietary-guidelines/")</f>
        <v>https://www.wvua23.com/more-beans-and-less-red-meat-nutrition-experts-weigh-in-on-us-dietary-guidelines/</v>
      </c>
      <c r="C3708" s="2" t="s">
        <v>1842</v>
      </c>
      <c r="D3708" s="3">
        <v>45637.410196759258</v>
      </c>
      <c r="E3708" s="2" t="s">
        <v>38</v>
      </c>
    </row>
    <row r="3709" spans="1:5" ht="70" x14ac:dyDescent="0.2">
      <c r="A3709" s="2" t="s">
        <v>122</v>
      </c>
      <c r="B3709" s="2" t="str">
        <f>HYPERLINK("https://qctimes.com/life-entertainment/nation-world/food-drink/food-nutrition-diet-health-wellness/article_6ca94c9e-f913-59f8-a829-cfec01cff721.html")</f>
        <v>https://qctimes.com/life-entertainment/nation-world/food-drink/food-nutrition-diet-health-wellness/article_6ca94c9e-f913-59f8-a829-cfec01cff721.html</v>
      </c>
      <c r="C3709" s="2" t="s">
        <v>2322</v>
      </c>
      <c r="D3709" s="3">
        <v>45637.410243055558</v>
      </c>
      <c r="E3709" s="2" t="s">
        <v>38</v>
      </c>
    </row>
    <row r="3710" spans="1:5" ht="70" x14ac:dyDescent="0.2">
      <c r="A3710" s="2" t="s">
        <v>122</v>
      </c>
      <c r="B3710" s="2" t="str">
        <f>HYPERLINK("https://elkodaily.com/life-entertainment/nation-world/food-drink/food-nutrition-diet-health-wellness/article_f6059bba-07b7-5859-b57f-eafaf65d94c0.html")</f>
        <v>https://elkodaily.com/life-entertainment/nation-world/food-drink/food-nutrition-diet-health-wellness/article_f6059bba-07b7-5859-b57f-eafaf65d94c0.html</v>
      </c>
      <c r="C3710" s="2" t="s">
        <v>1732</v>
      </c>
      <c r="D3710" s="3">
        <v>45637.410902777781</v>
      </c>
      <c r="E3710" s="2" t="s">
        <v>38</v>
      </c>
    </row>
    <row r="3711" spans="1:5" ht="70" x14ac:dyDescent="0.2">
      <c r="A3711" s="2" t="s">
        <v>122</v>
      </c>
      <c r="B3711" s="2" t="str">
        <f>HYPERLINK("https://wiscnews.com/life-entertainment/nation-world/food-drink/food-nutrition-diet-health-wellness/article_711d1b2c-e3a8-58fb-a8ac-13818a7042dc.html")</f>
        <v>https://wiscnews.com/life-entertainment/nation-world/food-drink/food-nutrition-diet-health-wellness/article_711d1b2c-e3a8-58fb-a8ac-13818a7042dc.html</v>
      </c>
      <c r="C3711" s="2" t="s">
        <v>2013</v>
      </c>
      <c r="D3711" s="3">
        <v>45637.412743055553</v>
      </c>
      <c r="E3711" s="2" t="s">
        <v>38</v>
      </c>
    </row>
    <row r="3712" spans="1:5" ht="70" x14ac:dyDescent="0.2">
      <c r="A3712" s="2" t="s">
        <v>122</v>
      </c>
      <c r="B3712" s="2" t="str">
        <f>HYPERLINK("https://tulsaworld.com/life-entertainment/nation-world/food-drink/food-nutrition-diet-health-wellness/article_2ebc72de-3c68-5833-8ef5-733baafeccf1.html")</f>
        <v>https://tulsaworld.com/life-entertainment/nation-world/food-drink/food-nutrition-diet-health-wellness/article_2ebc72de-3c68-5833-8ef5-733baafeccf1.html</v>
      </c>
      <c r="C3712" s="2" t="s">
        <v>2666</v>
      </c>
      <c r="D3712" s="3">
        <v>45637.413553240738</v>
      </c>
      <c r="E3712" s="2" t="s">
        <v>38</v>
      </c>
    </row>
    <row r="3713" spans="1:5" ht="70" x14ac:dyDescent="0.2">
      <c r="A3713" s="2" t="s">
        <v>122</v>
      </c>
      <c r="B3713" s="2" t="str">
        <f>HYPERLINK("https://fredericksburg.com/life-entertainment/nation-world/food-drink/food-nutrition-diet-health-wellness/article_3837faa2-90dd-54c5-a644-7146c8b0991b.html")</f>
        <v>https://fredericksburg.com/life-entertainment/nation-world/food-drink/food-nutrition-diet-health-wellness/article_3837faa2-90dd-54c5-a644-7146c8b0991b.html</v>
      </c>
      <c r="C3713" s="2" t="s">
        <v>1938</v>
      </c>
      <c r="D3713" s="3">
        <v>45637.414953703701</v>
      </c>
      <c r="E3713" s="2" t="s">
        <v>38</v>
      </c>
    </row>
    <row r="3714" spans="1:5" ht="42" x14ac:dyDescent="0.2">
      <c r="A3714" s="2" t="s">
        <v>2687</v>
      </c>
      <c r="B3714" s="2" t="str">
        <f>HYPERLINK("https://childrenshealthdefense.org/defender/bf-lawsuit-accuses-major-food-market-addictive-food-kids/")</f>
        <v>https://childrenshealthdefense.org/defender/bf-lawsuit-accuses-major-food-market-addictive-food-kids/</v>
      </c>
      <c r="C3714" s="2" t="s">
        <v>2505</v>
      </c>
      <c r="D3714" s="3">
        <v>45637.415706018517</v>
      </c>
      <c r="E3714" s="2" t="s">
        <v>38</v>
      </c>
    </row>
    <row r="3715" spans="1:5" ht="70" x14ac:dyDescent="0.2">
      <c r="A3715" s="2" t="s">
        <v>122</v>
      </c>
      <c r="B3715" s="2" t="str">
        <f>HYPERLINK("https://thetandd.com/life-entertainment/nation-world/food-drink/food-nutrition-diet-health-wellness/article_3929f78b-076a-51b4-82b0-ce93e04a288d.html")</f>
        <v>https://thetandd.com/life-entertainment/nation-world/food-drink/food-nutrition-diet-health-wellness/article_3929f78b-076a-51b4-82b0-ce93e04a288d.html</v>
      </c>
      <c r="C3715" s="2" t="s">
        <v>1750</v>
      </c>
      <c r="D3715" s="3">
        <v>45637.421817129631</v>
      </c>
      <c r="E3715" s="2" t="s">
        <v>38</v>
      </c>
    </row>
    <row r="3716" spans="1:5" ht="70" x14ac:dyDescent="0.2">
      <c r="A3716" s="2" t="s">
        <v>122</v>
      </c>
      <c r="B3716" s="2" t="str">
        <f>HYPERLINK("https://qconline.com/life-entertainment/nation-world/food-drink/food-nutrition-diet-health-wellness/article_e935476a-45c6-5a8a-8ad7-9581e2448e12.html")</f>
        <v>https://qconline.com/life-entertainment/nation-world/food-drink/food-nutrition-diet-health-wellness/article_e935476a-45c6-5a8a-8ad7-9581e2448e12.html</v>
      </c>
      <c r="C3716" s="2" t="s">
        <v>1977</v>
      </c>
      <c r="D3716" s="3">
        <v>45637.422986111109</v>
      </c>
      <c r="E3716" s="2" t="s">
        <v>38</v>
      </c>
    </row>
    <row r="3717" spans="1:5" ht="70" x14ac:dyDescent="0.2">
      <c r="A3717" s="2" t="s">
        <v>122</v>
      </c>
      <c r="B3717" s="2" t="str">
        <f>HYPERLINK("https://lexch.com/life-entertainment/nation-world/food-drink/food-nutrition-diet-health-wellness/article_010a8339-6851-5a7b-9ef1-3b4aedc0932d.html")</f>
        <v>https://lexch.com/life-entertainment/nation-world/food-drink/food-nutrition-diet-health-wellness/article_010a8339-6851-5a7b-9ef1-3b4aedc0932d.html</v>
      </c>
      <c r="C3717" s="2" t="s">
        <v>878</v>
      </c>
      <c r="D3717" s="3">
        <v>45637.429247685177</v>
      </c>
      <c r="E3717" s="2" t="s">
        <v>38</v>
      </c>
    </row>
    <row r="3718" spans="1:5" ht="70" x14ac:dyDescent="0.2">
      <c r="A3718" s="2" t="s">
        <v>122</v>
      </c>
      <c r="B3718" s="2" t="str">
        <f>HYPERLINK("https://dbrnews.com/life-entertainment/nation-world/food-drink/food-nutrition-diet-health-wellness/article_286b4845-12fb-5cf6-9ef1-25dc4d988026.html")</f>
        <v>https://dbrnews.com/life-entertainment/nation-world/food-drink/food-nutrition-diet-health-wellness/article_286b4845-12fb-5cf6-9ef1-25dc4d988026.html</v>
      </c>
      <c r="C3718" s="2" t="s">
        <v>591</v>
      </c>
      <c r="D3718" s="3">
        <v>45637.430821759262</v>
      </c>
      <c r="E3718" s="2" t="s">
        <v>38</v>
      </c>
    </row>
    <row r="3719" spans="1:5" ht="70" x14ac:dyDescent="0.2">
      <c r="A3719" s="2" t="s">
        <v>122</v>
      </c>
      <c r="B3719" s="2" t="str">
        <f>HYPERLINK("https://missoulian.com/life-entertainment/nation-world/food-drink/food-nutrition-diet-health-wellness/article_06b9eb25-8a3c-5991-98da-13438fae2c26.html")</f>
        <v>https://missoulian.com/life-entertainment/nation-world/food-drink/food-nutrition-diet-health-wellness/article_06b9eb25-8a3c-5991-98da-13438fae2c26.html</v>
      </c>
      <c r="C3719" s="2" t="s">
        <v>2269</v>
      </c>
      <c r="D3719" s="3">
        <v>45637.432222222233</v>
      </c>
      <c r="E3719" s="2" t="s">
        <v>38</v>
      </c>
    </row>
    <row r="3720" spans="1:5" ht="70" x14ac:dyDescent="0.2">
      <c r="A3720" s="2" t="s">
        <v>122</v>
      </c>
      <c r="B3720" s="2" t="str">
        <f>HYPERLINK("https://mtstandard.com/life-entertainment/nation-world/food-drink/food-nutrition-diet-health-wellness/article_e7771629-4e40-50ea-85fb-25ed9c02bbf7.html")</f>
        <v>https://mtstandard.com/life-entertainment/nation-world/food-drink/food-nutrition-diet-health-wellness/article_e7771629-4e40-50ea-85fb-25ed9c02bbf7.html</v>
      </c>
      <c r="C3720" s="2" t="s">
        <v>1779</v>
      </c>
      <c r="D3720" s="3">
        <v>45637.437858796293</v>
      </c>
      <c r="E3720" s="2" t="s">
        <v>38</v>
      </c>
    </row>
    <row r="3721" spans="1:5" ht="56" x14ac:dyDescent="0.2">
      <c r="A3721" s="2" t="s">
        <v>122</v>
      </c>
      <c r="B3721" s="2" t="str">
        <f>HYPERLINK("https://swvatoday.com/life-entertainment/nation-world/food-drink/article_be4c919c-9a4d-5c14-8e02-c99c92b15e62.html")</f>
        <v>https://swvatoday.com/life-entertainment/nation-world/food-drink/article_be4c919c-9a4d-5c14-8e02-c99c92b15e62.html</v>
      </c>
      <c r="C3721" s="2" t="s">
        <v>1307</v>
      </c>
      <c r="D3721" s="3">
        <v>45637.439976851849</v>
      </c>
      <c r="E3721" s="2" t="s">
        <v>38</v>
      </c>
    </row>
    <row r="3722" spans="1:5" ht="70" x14ac:dyDescent="0.2">
      <c r="A3722" s="2" t="s">
        <v>963</v>
      </c>
      <c r="B3722" s="2" t="str">
        <f>HYPERLINK("https://thefranklinnewspost.com/life-entertainment/nation-world/food-drink/food-nutrition-diet-health-wellness/article_6638b46d-dd37-5283-9ae8-0b215d991e09.html")</f>
        <v>https://thefranklinnewspost.com/life-entertainment/nation-world/food-drink/food-nutrition-diet-health-wellness/article_6638b46d-dd37-5283-9ae8-0b215d991e09.html</v>
      </c>
      <c r="C3722" s="2" t="s">
        <v>964</v>
      </c>
      <c r="D3722" s="3">
        <v>45637.441990740743</v>
      </c>
      <c r="E3722" s="2" t="s">
        <v>38</v>
      </c>
    </row>
    <row r="3723" spans="1:5" ht="56" x14ac:dyDescent="0.2">
      <c r="A3723" s="2" t="s">
        <v>122</v>
      </c>
      <c r="B3723" s="2" t="str">
        <f>HYPERLINK("https://sentinelcolorado.com/uncategorized/more-beans-and-less-red-meat-nutritionists-weigh-in-on-us-dietary-guidelines/")</f>
        <v>https://sentinelcolorado.com/uncategorized/more-beans-and-less-red-meat-nutritionists-weigh-in-on-us-dietary-guidelines/</v>
      </c>
      <c r="C3723" s="2" t="s">
        <v>2125</v>
      </c>
      <c r="D3723" s="3">
        <v>45637.448344907411</v>
      </c>
      <c r="E3723" s="2" t="s">
        <v>38</v>
      </c>
    </row>
    <row r="3724" spans="1:5" ht="56" x14ac:dyDescent="0.2">
      <c r="A3724" s="2" t="s">
        <v>292</v>
      </c>
      <c r="B3724" s="2" t="str">
        <f>HYPERLINK("https://thegrio.com/2024/12/11/more-beans-and-less-red-meat-nutrition-experts-weigh-in-on-us-dietary-guidelines/")</f>
        <v>https://thegrio.com/2024/12/11/more-beans-and-less-red-meat-nutrition-experts-weigh-in-on-us-dietary-guidelines/</v>
      </c>
      <c r="C3724" s="2" t="s">
        <v>2593</v>
      </c>
      <c r="D3724" s="3">
        <v>45637.453379629631</v>
      </c>
      <c r="E3724" s="2" t="s">
        <v>38</v>
      </c>
    </row>
    <row r="3725" spans="1:5" ht="70" x14ac:dyDescent="0.2">
      <c r="A3725" s="2" t="s">
        <v>122</v>
      </c>
      <c r="B3725" s="2" t="str">
        <f>HYPERLINK("https://nptelegraph.com/life-entertainment/nation-world/food-drink/food-nutrition-diet-health-wellness/article_3a8a22e8-89fc-5afb-a394-30b1337e1690.html")</f>
        <v>https://nptelegraph.com/life-entertainment/nation-world/food-drink/food-nutrition-diet-health-wellness/article_3a8a22e8-89fc-5afb-a394-30b1337e1690.html</v>
      </c>
      <c r="C3725" s="2" t="s">
        <v>1533</v>
      </c>
      <c r="D3725" s="3">
        <v>45637.456469907411</v>
      </c>
      <c r="E3725" s="2" t="s">
        <v>38</v>
      </c>
    </row>
    <row r="3726" spans="1:5" ht="70" x14ac:dyDescent="0.2">
      <c r="A3726" s="2" t="s">
        <v>1619</v>
      </c>
      <c r="B3726" s="2" t="str">
        <f>HYPERLINK("https://www.foodmanufacturing.com/consumer-trends/news/22928492/more-beans-and-less-red-meat-nutrition-experts-weigh-in-on-us-dietary-guidelines")</f>
        <v>https://www.foodmanufacturing.com/consumer-trends/news/22928492/more-beans-and-less-red-meat-nutrition-experts-weigh-in-on-us-dietary-guidelines</v>
      </c>
      <c r="C3726" s="2" t="s">
        <v>1614</v>
      </c>
      <c r="D3726" s="3">
        <v>45637.459247685183</v>
      </c>
      <c r="E3726" s="2" t="s">
        <v>38</v>
      </c>
    </row>
    <row r="3727" spans="1:5" ht="56" x14ac:dyDescent="0.2">
      <c r="A3727" s="2" t="s">
        <v>292</v>
      </c>
      <c r="B3727" s="2" t="str">
        <f>HYPERLINK("https://www.columbian.com/news/2024/dec/11/more-beans-and-less-red-meat-nutrition-experts-weigh-in-on-us-dietary-guidelines/")</f>
        <v>https://www.columbian.com/news/2024/dec/11/more-beans-and-less-red-meat-nutrition-experts-weigh-in-on-us-dietary-guidelines/</v>
      </c>
      <c r="C3727" s="2" t="s">
        <v>2659</v>
      </c>
      <c r="D3727" s="3">
        <v>45637.46471064815</v>
      </c>
      <c r="E3727" s="2" t="s">
        <v>38</v>
      </c>
    </row>
    <row r="3728" spans="1:5" ht="70" x14ac:dyDescent="0.2">
      <c r="A3728" s="2" t="s">
        <v>122</v>
      </c>
      <c r="B3728" s="2" t="str">
        <f>HYPERLINK("https://mooresvilletribune.com/life-entertainment/nation-world/food-drink/food-nutrition-diet-health-wellness/article_18c4dd76-0638-5274-98c6-0226881bb9e9.html")</f>
        <v>https://mooresvilletribune.com/life-entertainment/nation-world/food-drink/food-nutrition-diet-health-wellness/article_18c4dd76-0638-5274-98c6-0226881bb9e9.html</v>
      </c>
      <c r="C3728" s="2" t="s">
        <v>1228</v>
      </c>
      <c r="D3728" s="3">
        <v>45637.474872685183</v>
      </c>
      <c r="E3728" s="2" t="s">
        <v>38</v>
      </c>
    </row>
    <row r="3729" spans="1:5" ht="70" x14ac:dyDescent="0.2">
      <c r="A3729" s="2" t="s">
        <v>1620</v>
      </c>
      <c r="B3729" s="2" t="str">
        <f>HYPERLINK("https://www.foodmanufacturing.com/consumer-trends/news/22928492/nutrition-advisory-panel-calls-for-more-beans-less-red-meat-in-us-dietary-guidelines")</f>
        <v>https://www.foodmanufacturing.com/consumer-trends/news/22928492/nutrition-advisory-panel-calls-for-more-beans-less-red-meat-in-us-dietary-guidelines</v>
      </c>
      <c r="C3729" s="2" t="s">
        <v>1614</v>
      </c>
      <c r="D3729" s="3">
        <v>45637.484201388892</v>
      </c>
      <c r="E3729" s="2" t="s">
        <v>38</v>
      </c>
    </row>
    <row r="3730" spans="1:5" ht="56" x14ac:dyDescent="0.2">
      <c r="A3730" s="2" t="s">
        <v>292</v>
      </c>
      <c r="B3730" s="2" t="str">
        <f>HYPERLINK("https://semanarioaccion.com/more-beans-and-less-red-meat-nutrition-experts-weigh-in-on-us-dietary-guidelines/")</f>
        <v>https://semanarioaccion.com/more-beans-and-less-red-meat-nutrition-experts-weigh-in-on-us-dietary-guidelines/</v>
      </c>
      <c r="C3730" s="2" t="s">
        <v>293</v>
      </c>
      <c r="D3730" s="3">
        <v>45637.496354166673</v>
      </c>
      <c r="E3730" s="2" t="s">
        <v>38</v>
      </c>
    </row>
    <row r="3731" spans="1:5" ht="70" x14ac:dyDescent="0.2">
      <c r="A3731" s="2" t="s">
        <v>1071</v>
      </c>
      <c r="B3731" s="2" t="str">
        <f>HYPERLINK("https://www.aol.com/lifestyle/safe-eat-eggs-chicken-dairy-220807614.html")</f>
        <v>https://www.aol.com/lifestyle/safe-eat-eggs-chicken-dairy-220807614.html</v>
      </c>
      <c r="C3731" s="2" t="s">
        <v>3592</v>
      </c>
      <c r="D3731" s="3">
        <v>45637.505636574067</v>
      </c>
      <c r="E3731" s="2" t="s">
        <v>1072</v>
      </c>
    </row>
    <row r="3732" spans="1:5" ht="70" x14ac:dyDescent="0.2">
      <c r="A3732" s="2" t="s">
        <v>1071</v>
      </c>
      <c r="B3732" s="2" t="str">
        <f>HYPERLINK("https://www.yahoo.com/lifestyle/safe-eat-eggs-chicken-dairy-220807223.html")</f>
        <v>https://www.yahoo.com/lifestyle/safe-eat-eggs-chicken-dairy-220807223.html</v>
      </c>
      <c r="C3732" s="2" t="s">
        <v>3726</v>
      </c>
      <c r="D3732" s="3">
        <v>45637.505636574067</v>
      </c>
      <c r="E3732" s="2" t="s">
        <v>3727</v>
      </c>
    </row>
    <row r="3733" spans="1:5" ht="70" x14ac:dyDescent="0.2">
      <c r="A3733" s="2" t="s">
        <v>122</v>
      </c>
      <c r="B3733" s="2" t="str">
        <f>HYPERLINK("https://heraldcourier.com/life-entertainment/nation-world/food-drink/food-nutrition-diet-health-wellness/article_a92961cc-8dd1-5375-a21e-d72767def4fc.html")</f>
        <v>https://heraldcourier.com/life-entertainment/nation-world/food-drink/food-nutrition-diet-health-wellness/article_a92961cc-8dd1-5375-a21e-d72767def4fc.html</v>
      </c>
      <c r="C3733" s="2" t="s">
        <v>1813</v>
      </c>
      <c r="D3733" s="3">
        <v>45637.509791666656</v>
      </c>
      <c r="E3733" s="2" t="s">
        <v>38</v>
      </c>
    </row>
    <row r="3734" spans="1:5" ht="56" x14ac:dyDescent="0.2">
      <c r="A3734" s="2" t="s">
        <v>2657</v>
      </c>
      <c r="B3734" s="2" t="str">
        <f>HYPERLINK("https://spectrumnews1.com/oh/dayton/health-and-medicine/2024/12/11/beans-red-meat-dietary-guidelines")</f>
        <v>https://spectrumnews1.com/oh/dayton/health-and-medicine/2024/12/11/beans-red-meat-dietary-guidelines</v>
      </c>
      <c r="C3734" s="2" t="s">
        <v>2761</v>
      </c>
      <c r="D3734" s="3">
        <v>45637.514050925929</v>
      </c>
      <c r="E3734" s="2" t="s">
        <v>38</v>
      </c>
    </row>
    <row r="3735" spans="1:5" ht="56" x14ac:dyDescent="0.2">
      <c r="A3735" s="2" t="s">
        <v>1847</v>
      </c>
      <c r="B3735" s="2" t="str">
        <f>HYPERLINK("https://health.wusf.usf.edu/health-news-florida/2024-12-11/more-beans-less-red-meat-nutrition-experts-weigh-dietary-guidelines")</f>
        <v>https://health.wusf.usf.edu/health-news-florida/2024-12-11/more-beans-less-red-meat-nutrition-experts-weigh-dietary-guidelines</v>
      </c>
      <c r="C3735" s="2" t="s">
        <v>1848</v>
      </c>
      <c r="D3735" s="3">
        <v>45637.520729166667</v>
      </c>
      <c r="E3735" s="2" t="s">
        <v>38</v>
      </c>
    </row>
    <row r="3736" spans="1:5" ht="56" x14ac:dyDescent="0.2">
      <c r="A3736" s="2" t="s">
        <v>2657</v>
      </c>
      <c r="B3736" s="2" t="str">
        <f>HYPERLINK("https://spectrumlocalnews.com/nc/coastal/health-and-medicine/2024/12/11/beans-red-meat-dietary-guidelines")</f>
        <v>https://spectrumlocalnews.com/nc/coastal/health-and-medicine/2024/12/11/beans-red-meat-dietary-guidelines</v>
      </c>
      <c r="C3736" s="2" t="s">
        <v>2898</v>
      </c>
      <c r="D3736" s="3">
        <v>45637.523182870369</v>
      </c>
      <c r="E3736" s="2" t="s">
        <v>38</v>
      </c>
    </row>
    <row r="3737" spans="1:5" ht="42" x14ac:dyDescent="0.2">
      <c r="A3737" s="2" t="s">
        <v>2657</v>
      </c>
      <c r="B3737" s="2" t="str">
        <f>HYPERLINK("https://baynews9.com/fl/tampa/health-and-medicine/2024/12/11/beans-red-meat-dietary-guidelines")</f>
        <v>https://baynews9.com/fl/tampa/health-and-medicine/2024/12/11/beans-red-meat-dietary-guidelines</v>
      </c>
      <c r="C3737" s="2" t="s">
        <v>2852</v>
      </c>
      <c r="D3737" s="3">
        <v>45637.526863425926</v>
      </c>
      <c r="E3737" s="2" t="s">
        <v>38</v>
      </c>
    </row>
    <row r="3738" spans="1:5" ht="56" x14ac:dyDescent="0.2">
      <c r="A3738" s="2" t="s">
        <v>326</v>
      </c>
      <c r="B3738" s="2" t="str">
        <f>HYPERLINK("https://www.nbcmiami.com/news/national-international/american-dietary-guidelines-more-beans-less-red-meat/3492519/")</f>
        <v>https://www.nbcmiami.com/news/national-international/american-dietary-guidelines-more-beans-less-red-meat/3492519/</v>
      </c>
      <c r="C3738" s="2" t="s">
        <v>3017</v>
      </c>
      <c r="D3738" s="3">
        <v>45637.557615740741</v>
      </c>
      <c r="E3738" s="2" t="s">
        <v>38</v>
      </c>
    </row>
    <row r="3739" spans="1:5" ht="56" x14ac:dyDescent="0.2">
      <c r="A3739" s="2" t="s">
        <v>326</v>
      </c>
      <c r="B3739" s="2" t="str">
        <f>HYPERLINK("https://www.nbcnewyork.com/news/national-international/american-dietary-guidelines-more-beans-less-red-meat/6060948/")</f>
        <v>https://www.nbcnewyork.com/news/national-international/american-dietary-guidelines-more-beans-less-red-meat/6060948/</v>
      </c>
      <c r="C3739" s="2" t="s">
        <v>3269</v>
      </c>
      <c r="D3739" s="3">
        <v>45637.557719907411</v>
      </c>
      <c r="E3739" s="2" t="s">
        <v>38</v>
      </c>
    </row>
    <row r="3740" spans="1:5" ht="56" x14ac:dyDescent="0.2">
      <c r="A3740" s="2" t="s">
        <v>326</v>
      </c>
      <c r="B3740" s="2" t="str">
        <f>HYPERLINK("https://www.nbcdfw.com/news/national-international/american-dietary-guidelines-more-beans-less-red-meat/3717960/")</f>
        <v>https://www.nbcdfw.com/news/national-international/american-dietary-guidelines-more-beans-less-red-meat/3717960/</v>
      </c>
      <c r="C3740" s="2" t="s">
        <v>2967</v>
      </c>
      <c r="D3740" s="3">
        <v>45637.557916666658</v>
      </c>
      <c r="E3740" s="2" t="s">
        <v>38</v>
      </c>
    </row>
    <row r="3741" spans="1:5" ht="56" x14ac:dyDescent="0.2">
      <c r="A3741" s="2" t="s">
        <v>292</v>
      </c>
      <c r="B3741" s="2" t="str">
        <f>HYPERLINK("https://www.nbcchicago.com/news/national-international/american-dietary-guidelines-more-beans-less-red-meat/3622014/")</f>
        <v>https://www.nbcchicago.com/news/national-international/american-dietary-guidelines-more-beans-less-red-meat/3622014/</v>
      </c>
      <c r="C3741" s="2" t="s">
        <v>3342</v>
      </c>
      <c r="D3741" s="3">
        <v>45637.558020833327</v>
      </c>
      <c r="E3741" s="2" t="s">
        <v>38</v>
      </c>
    </row>
    <row r="3742" spans="1:5" ht="56" x14ac:dyDescent="0.2">
      <c r="A3742" s="2" t="s">
        <v>326</v>
      </c>
      <c r="B3742" s="2" t="str">
        <f>HYPERLINK("https://www.nbcphiladelphia.com/news/national-international/american-dietary-guidelines-more-beans-less-red-meat/4051766/")</f>
        <v>https://www.nbcphiladelphia.com/news/national-international/american-dietary-guidelines-more-beans-less-red-meat/4051766/</v>
      </c>
      <c r="C3742" s="2" t="s">
        <v>3078</v>
      </c>
      <c r="D3742" s="3">
        <v>45637.558738425927</v>
      </c>
      <c r="E3742" s="2" t="s">
        <v>38</v>
      </c>
    </row>
    <row r="3743" spans="1:5" ht="56" x14ac:dyDescent="0.2">
      <c r="A3743" s="2" t="s">
        <v>326</v>
      </c>
      <c r="B3743" s="2" t="str">
        <f>HYPERLINK("https://www.nbcsandiego.com/news/national-international/american-dietary-guidelines-more-beans-less-red-meat/3698362/")</f>
        <v>https://www.nbcsandiego.com/news/national-international/american-dietary-guidelines-more-beans-less-red-meat/3698362/</v>
      </c>
      <c r="C3743" s="2" t="s">
        <v>2951</v>
      </c>
      <c r="D3743" s="3">
        <v>45637.559525462973</v>
      </c>
      <c r="E3743" s="2" t="s">
        <v>38</v>
      </c>
    </row>
    <row r="3744" spans="1:5" ht="56" x14ac:dyDescent="0.2">
      <c r="A3744" s="2" t="s">
        <v>326</v>
      </c>
      <c r="B3744" s="2" t="str">
        <f>HYPERLINK("https://www.nbclosangeles.com/news/national-international/american-dietary-guidelines-more-beans-less-red-meat/3580512/")</f>
        <v>https://www.nbclosangeles.com/news/national-international/american-dietary-guidelines-more-beans-less-red-meat/3580512/</v>
      </c>
      <c r="C3744" s="2" t="s">
        <v>3121</v>
      </c>
      <c r="D3744" s="3">
        <v>45637.560057870367</v>
      </c>
      <c r="E3744" s="2" t="s">
        <v>38</v>
      </c>
    </row>
    <row r="3745" spans="1:5" ht="56" x14ac:dyDescent="0.2">
      <c r="A3745" s="2" t="s">
        <v>326</v>
      </c>
      <c r="B3745" s="2" t="str">
        <f>HYPERLINK("https://www.nbcconnecticut.com/news/national-international/american-dietary-guidelines-more-beans-less-red-meat/3452556/")</f>
        <v>https://www.nbcconnecticut.com/news/national-international/american-dietary-guidelines-more-beans-less-red-meat/3452556/</v>
      </c>
      <c r="C3745" s="2" t="s">
        <v>2854</v>
      </c>
      <c r="D3745" s="3">
        <v>45637.561307870368</v>
      </c>
      <c r="E3745" s="2" t="s">
        <v>38</v>
      </c>
    </row>
    <row r="3746" spans="1:5" ht="56" x14ac:dyDescent="0.2">
      <c r="A3746" s="2" t="s">
        <v>326</v>
      </c>
      <c r="B3746" s="2" t="str">
        <f>HYPERLINK("https://www.nbcboston.com/news/national-international/american-dietary-guidelines-more-beans-less-red-meat/3574885/")</f>
        <v>https://www.nbcboston.com/news/national-international/american-dietary-guidelines-more-beans-less-red-meat/3574885/</v>
      </c>
      <c r="C3746" s="2" t="s">
        <v>3016</v>
      </c>
      <c r="D3746" s="3">
        <v>45637.562569444453</v>
      </c>
      <c r="E3746" s="2" t="s">
        <v>38</v>
      </c>
    </row>
    <row r="3747" spans="1:5" ht="56" x14ac:dyDescent="0.2">
      <c r="A3747" s="2" t="s">
        <v>326</v>
      </c>
      <c r="B3747" s="2" t="str">
        <f>HYPERLINK("https://www.necn.com/news/national-international/american-dietary-guidelines-more-beans-less-red-meat/3412479/")</f>
        <v>https://www.necn.com/news/national-international/american-dietary-guidelines-more-beans-less-red-meat/3412479/</v>
      </c>
      <c r="C3747" s="2" t="s">
        <v>2351</v>
      </c>
      <c r="D3747" s="3">
        <v>45637.563009259262</v>
      </c>
      <c r="E3747" s="2" t="s">
        <v>38</v>
      </c>
    </row>
    <row r="3748" spans="1:5" ht="56" x14ac:dyDescent="0.2">
      <c r="A3748" s="2" t="s">
        <v>326</v>
      </c>
      <c r="B3748" s="2" t="str">
        <f>HYPERLINK("https://www.nbcwashington.com/news/national-international/american-dietary-guidelines-more-beans-less-red-meat/3789831/")</f>
        <v>https://www.nbcwashington.com/news/national-international/american-dietary-guidelines-more-beans-less-red-meat/3789831/</v>
      </c>
      <c r="C3748" s="2" t="s">
        <v>3031</v>
      </c>
      <c r="D3748" s="3">
        <v>45637.571180555547</v>
      </c>
      <c r="E3748" s="2" t="s">
        <v>38</v>
      </c>
    </row>
    <row r="3749" spans="1:5" ht="56" x14ac:dyDescent="0.2">
      <c r="A3749" s="2" t="s">
        <v>3176</v>
      </c>
      <c r="B3749" s="2" t="str">
        <f>HYPERLINK("https://www.startribune.com/dgac-dietary-guidelines-committee-ultra-processed-food-studies-obesity-general-mills/601193726")</f>
        <v>https://www.startribune.com/dgac-dietary-guidelines-committee-ultra-processed-food-studies-obesity-general-mills/601193726</v>
      </c>
      <c r="C3749" s="2" t="s">
        <v>3177</v>
      </c>
      <c r="D3749" s="3">
        <v>45637.573206018518</v>
      </c>
      <c r="E3749" s="2" t="s">
        <v>1510</v>
      </c>
    </row>
    <row r="3750" spans="1:5" ht="70" x14ac:dyDescent="0.2">
      <c r="A3750" s="2" t="s">
        <v>122</v>
      </c>
      <c r="B3750" s="2" t="str">
        <f>HYPERLINK("https://dailyprogress.com/life-entertainment/nation-world/food-drink/food-nutrition-diet-health-wellness/article_68be3c06-ed8e-5588-9059-df18b9c6467d.html")</f>
        <v>https://dailyprogress.com/life-entertainment/nation-world/food-drink/food-nutrition-diet-health-wellness/article_68be3c06-ed8e-5588-9059-df18b9c6467d.html</v>
      </c>
      <c r="C3750" s="2" t="s">
        <v>2304</v>
      </c>
      <c r="D3750" s="3">
        <v>45637.585081018522</v>
      </c>
      <c r="E3750" s="2" t="s">
        <v>38</v>
      </c>
    </row>
    <row r="3751" spans="1:5" ht="70" x14ac:dyDescent="0.2">
      <c r="A3751" s="2" t="s">
        <v>122</v>
      </c>
      <c r="B3751" s="2" t="str">
        <f>HYPERLINK("https://trib.com/life-entertainment/nation-world/food-drink/food-nutrition-diet-health-wellness/article_536f692c-8e39-5878-8bc3-70f8b3a3cb0d.html")</f>
        <v>https://trib.com/life-entertainment/nation-world/food-drink/food-nutrition-diet-health-wellness/article_536f692c-8e39-5878-8bc3-70f8b3a3cb0d.html</v>
      </c>
      <c r="C3751" s="2" t="s">
        <v>1935</v>
      </c>
      <c r="D3751" s="3">
        <v>45637.593888888892</v>
      </c>
      <c r="E3751" s="2" t="s">
        <v>38</v>
      </c>
    </row>
    <row r="3752" spans="1:5" ht="70" x14ac:dyDescent="0.2">
      <c r="A3752" s="2" t="s">
        <v>1509</v>
      </c>
      <c r="B3752" s="2" t="str">
        <f>HYPERLINK("https://winonadailynews.com/dietary-guidelines-committee-punts-on-ultra-processed-food-a-win-for-general-mills/article_886480c3-099b-59df-825e-e2de573cdb1a.html")</f>
        <v>https://winonadailynews.com/dietary-guidelines-committee-punts-on-ultra-processed-food-a-win-for-general-mills/article_886480c3-099b-59df-825e-e2de573cdb1a.html</v>
      </c>
      <c r="C3752" s="2" t="s">
        <v>1508</v>
      </c>
      <c r="D3752" s="3">
        <v>45637.607222222221</v>
      </c>
      <c r="E3752" s="2" t="s">
        <v>1510</v>
      </c>
    </row>
    <row r="3753" spans="1:5" ht="42" x14ac:dyDescent="0.2">
      <c r="A3753" s="2" t="s">
        <v>2657</v>
      </c>
      <c r="B3753" s="2" t="str">
        <f>HYPERLINK("https://mynews13.com/fl/orlando/health-and-medicine/2024/12/11/beans-red-meat-dietary-guidelines")</f>
        <v>https://mynews13.com/fl/orlando/health-and-medicine/2024/12/11/beans-red-meat-dietary-guidelines</v>
      </c>
      <c r="C3753" s="2" t="s">
        <v>2446</v>
      </c>
      <c r="D3753" s="3">
        <v>45637.60832175926</v>
      </c>
      <c r="E3753" s="2" t="s">
        <v>38</v>
      </c>
    </row>
    <row r="3754" spans="1:5" ht="70" x14ac:dyDescent="0.2">
      <c r="A3754" s="2" t="s">
        <v>1071</v>
      </c>
      <c r="B3754" s="2" t="str">
        <f>HYPERLINK("https://www.eatingwell.com/is-it-safe-to-eat-eggs-dairy-bird-flu-outbreak-8760091")</f>
        <v>https://www.eatingwell.com/is-it-safe-to-eat-eggs-dairy-bird-flu-outbreak-8760091</v>
      </c>
      <c r="C3754" s="2" t="s">
        <v>3519</v>
      </c>
      <c r="D3754" s="3">
        <v>45637.723703703698</v>
      </c>
      <c r="E3754" s="2" t="s">
        <v>1072</v>
      </c>
    </row>
    <row r="3755" spans="1:5" ht="168" x14ac:dyDescent="0.2">
      <c r="A3755" s="2" t="s">
        <v>3138</v>
      </c>
      <c r="B3755" s="2" t="str">
        <f>HYPERLINK("https://www.epochtimes.com/b5/24/12/11/n14389261.htm")</f>
        <v>https://www.epochtimes.com/b5/24/12/11/n14389261.htm</v>
      </c>
      <c r="C3755" s="2" t="s">
        <v>3139</v>
      </c>
      <c r="D3755" s="3">
        <v>45637.725451388891</v>
      </c>
      <c r="E3755" s="2" t="s">
        <v>3140</v>
      </c>
    </row>
    <row r="3756" spans="1:5" ht="168" x14ac:dyDescent="0.2">
      <c r="A3756" s="2" t="s">
        <v>3141</v>
      </c>
      <c r="B3756" s="2" t="str">
        <f>HYPERLINK("https://www.epochtimes.com/gb/24/12/11/n14389261.htm")</f>
        <v>https://www.epochtimes.com/gb/24/12/11/n14389261.htm</v>
      </c>
      <c r="C3756" s="2" t="s">
        <v>3142</v>
      </c>
      <c r="D3756" s="3">
        <v>45637.747499999998</v>
      </c>
      <c r="E3756" s="2" t="s">
        <v>3143</v>
      </c>
    </row>
    <row r="3757" spans="1:5" ht="56" x14ac:dyDescent="0.2">
      <c r="A3757" s="2" t="s">
        <v>2801</v>
      </c>
      <c r="B3757" s="2" t="str">
        <f>HYPERLINK("https://www.theyeshivaworld.com/news/general/2340421/more-beans-and-less-red-meat-nutrition-experts-weigh-in-on-us-dietary-guidelines.html")</f>
        <v>https://www.theyeshivaworld.com/news/general/2340421/more-beans-and-less-red-meat-nutrition-experts-weigh-in-on-us-dietary-guidelines.html</v>
      </c>
      <c r="C3757" s="2" t="s">
        <v>2802</v>
      </c>
      <c r="D3757" s="3">
        <v>45637.757534722223</v>
      </c>
      <c r="E3757" s="2" t="s">
        <v>38</v>
      </c>
    </row>
    <row r="3758" spans="1:5" ht="56" x14ac:dyDescent="0.2">
      <c r="A3758" s="2" t="s">
        <v>1509</v>
      </c>
      <c r="B3758" s="2" t="str">
        <f>HYPERLINK("https://www.sacbee.com/news/business/article296977154.html")</f>
        <v>https://www.sacbee.com/news/business/article296977154.html</v>
      </c>
      <c r="C3758" s="2" t="s">
        <v>3104</v>
      </c>
      <c r="D3758" s="3">
        <v>45637.764756944453</v>
      </c>
      <c r="E3758" s="2" t="s">
        <v>1629</v>
      </c>
    </row>
    <row r="3759" spans="1:5" ht="70" x14ac:dyDescent="0.2">
      <c r="A3759" s="2" t="s">
        <v>292</v>
      </c>
      <c r="B3759" s="2" t="str">
        <f>HYPERLINK("https://www.griffindailynews.com/more-beans-and-less-red-meat-nutrition-experts-weigh-in-on-us-dietary-guidelines/article_f30d9d12-c99b-5035-8061-7355c7a44bb5.html")</f>
        <v>https://www.griffindailynews.com/more-beans-and-less-red-meat-nutrition-experts-weigh-in-on-us-dietary-guidelines/article_f30d9d12-c99b-5035-8061-7355c7a44bb5.html</v>
      </c>
      <c r="C3759" s="2" t="s">
        <v>1139</v>
      </c>
      <c r="D3759" s="3">
        <v>45637.791666666657</v>
      </c>
      <c r="E3759" s="2" t="s">
        <v>38</v>
      </c>
    </row>
    <row r="3760" spans="1:5" ht="70" x14ac:dyDescent="0.2">
      <c r="A3760" s="2" t="s">
        <v>375</v>
      </c>
      <c r="B3760" s="2" t="str">
        <f>HYPERLINK("https://www.news8000.com/lifestyle/health/a-lowly-vegetable-rises-to-stardom-in-newly-released-dietary-advisory-report/article_61259193-a6b8-58d0-9ffa-83b2ca51da46.html")</f>
        <v>https://www.news8000.com/lifestyle/health/a-lowly-vegetable-rises-to-stardom-in-newly-released-dietary-advisory-report/article_61259193-a6b8-58d0-9ffa-83b2ca51da46.html</v>
      </c>
      <c r="C3760" s="2" t="s">
        <v>2192</v>
      </c>
      <c r="D3760" s="3">
        <v>45637.791666666657</v>
      </c>
      <c r="E3760" s="2" t="s">
        <v>376</v>
      </c>
    </row>
    <row r="3761" spans="1:5" ht="70" x14ac:dyDescent="0.2">
      <c r="A3761" s="2" t="s">
        <v>375</v>
      </c>
      <c r="B3761" s="2" t="str">
        <f>HYPERLINK("https://www.ktbs.com/health/a-lowly-vegetable-rises-to-stardom-in-newly-released-dietary-advisory-report/article_190173cb-b16c-5017-be47-44f02db13954.html")</f>
        <v>https://www.ktbs.com/health/a-lowly-vegetable-rises-to-stardom-in-newly-released-dietary-advisory-report/article_190173cb-b16c-5017-be47-44f02db13954.html</v>
      </c>
      <c r="C3761" s="2" t="s">
        <v>2216</v>
      </c>
      <c r="D3761" s="3">
        <v>45637.791666666657</v>
      </c>
      <c r="E3761" s="2" t="s">
        <v>376</v>
      </c>
    </row>
    <row r="3762" spans="1:5" ht="56" x14ac:dyDescent="0.2">
      <c r="A3762" s="2" t="s">
        <v>1509</v>
      </c>
      <c r="B3762" s="2" t="str">
        <f>HYPERLINK("https://www.arcamax.com/business/businessnews/s-3516919")</f>
        <v>https://www.arcamax.com/business/businessnews/s-3516919</v>
      </c>
      <c r="C3762" s="2" t="s">
        <v>2841</v>
      </c>
      <c r="D3762" s="3">
        <v>45637.791666666657</v>
      </c>
      <c r="E3762" s="2" t="s">
        <v>1510</v>
      </c>
    </row>
    <row r="3763" spans="1:5" ht="70" x14ac:dyDescent="0.2">
      <c r="A3763" s="2" t="s">
        <v>3775</v>
      </c>
      <c r="B3763" s="2" t="str">
        <f>HYPERLINK("https://www.bundle.app/en/breakingNews/a-lowly-vegetable-rises-to-stardom-in-new-dietary-advisory-report-32806acb-1bf0-4fb5-8c1c-e66b0234f3e3")</f>
        <v>https://www.bundle.app/en/breakingNews/a-lowly-vegetable-rises-to-stardom-in-new-dietary-advisory-report-32806acb-1bf0-4fb5-8c1c-e66b0234f3e3</v>
      </c>
      <c r="C3763" s="2" t="s">
        <v>3776</v>
      </c>
      <c r="D3763" s="3">
        <v>45637.791666666657</v>
      </c>
      <c r="E3763" s="2" t="s">
        <v>376</v>
      </c>
    </row>
    <row r="3764" spans="1:5" ht="56" x14ac:dyDescent="0.2">
      <c r="A3764" s="2" t="s">
        <v>292</v>
      </c>
      <c r="B3764" s="2" t="str">
        <f>HYPERLINK("https://www.timesfreepress.com/news/2024/dec/11/more-beans-and-less-red-meat-nutrition-experts-weigh-in-on-us-dietary-guidelines/")</f>
        <v>https://www.timesfreepress.com/news/2024/dec/11/more-beans-and-less-red-meat-nutrition-experts-weigh-in-on-us-dietary-guidelines/</v>
      </c>
      <c r="C3764" s="2" t="s">
        <v>2503</v>
      </c>
      <c r="D3764" s="3">
        <v>45637.807569444441</v>
      </c>
      <c r="E3764" s="2" t="s">
        <v>38</v>
      </c>
    </row>
    <row r="3765" spans="1:5" ht="56" x14ac:dyDescent="0.2">
      <c r="A3765" s="2" t="s">
        <v>1509</v>
      </c>
      <c r="B3765" s="2" t="str">
        <f>HYPERLINK("https://www.heraldsun.com/news/business/article296977154.html")</f>
        <v>https://www.heraldsun.com/news/business/article296977154.html</v>
      </c>
      <c r="C3765" s="2" t="s">
        <v>1625</v>
      </c>
      <c r="D3765" s="3">
        <v>45637.973090277781</v>
      </c>
      <c r="E3765" s="2" t="s">
        <v>1629</v>
      </c>
    </row>
    <row r="3766" spans="1:5" ht="56" x14ac:dyDescent="0.2">
      <c r="A3766" s="2" t="s">
        <v>1509</v>
      </c>
      <c r="B3766" s="2" t="str">
        <f>HYPERLINK("https://www.mahoningmatters.com/news/business/article296977154.html")</f>
        <v>https://www.mahoningmatters.com/news/business/article296977154.html</v>
      </c>
      <c r="C3766" s="2" t="s">
        <v>1822</v>
      </c>
      <c r="D3766" s="3">
        <v>45637.973090277781</v>
      </c>
      <c r="E3766" s="2" t="s">
        <v>1629</v>
      </c>
    </row>
    <row r="3767" spans="1:5" ht="56" x14ac:dyDescent="0.2">
      <c r="A3767" s="2" t="s">
        <v>1509</v>
      </c>
      <c r="B3767" s="2" t="str">
        <f>HYPERLINK("https://www.bradenton.com/news/business/article296977154.html")</f>
        <v>https://www.bradenton.com/news/business/article296977154.html</v>
      </c>
      <c r="C3767" s="2" t="s">
        <v>2218</v>
      </c>
      <c r="D3767" s="3">
        <v>45637.973090277781</v>
      </c>
      <c r="E3767" s="2" t="s">
        <v>1629</v>
      </c>
    </row>
    <row r="3768" spans="1:5" ht="56" x14ac:dyDescent="0.2">
      <c r="A3768" s="2" t="s">
        <v>1509</v>
      </c>
      <c r="B3768" s="2" t="str">
        <f>HYPERLINK("https://www.modbee.com/news/business/article296977154.html")</f>
        <v>https://www.modbee.com/news/business/article296977154.html</v>
      </c>
      <c r="C3768" s="2" t="s">
        <v>2247</v>
      </c>
      <c r="D3768" s="3">
        <v>45637.973090277781</v>
      </c>
      <c r="E3768" s="2" t="s">
        <v>1629</v>
      </c>
    </row>
    <row r="3769" spans="1:5" ht="56" x14ac:dyDescent="0.2">
      <c r="A3769" s="2" t="s">
        <v>1509</v>
      </c>
      <c r="B3769" s="2" t="str">
        <f>HYPERLINK("https://www.theolympian.com/news/business/article296977154.html")</f>
        <v>https://www.theolympian.com/news/business/article296977154.html</v>
      </c>
      <c r="C3769" s="2" t="s">
        <v>2262</v>
      </c>
      <c r="D3769" s="3">
        <v>45637.973090277781</v>
      </c>
      <c r="E3769" s="2" t="s">
        <v>1629</v>
      </c>
    </row>
    <row r="3770" spans="1:5" ht="56" x14ac:dyDescent="0.2">
      <c r="A3770" s="2" t="s">
        <v>1509</v>
      </c>
      <c r="B3770" s="2" t="str">
        <f>HYPERLINK("https://www.tri-cityherald.com/news/business/article296977154.html")</f>
        <v>https://www.tri-cityherald.com/news/business/article296977154.html</v>
      </c>
      <c r="C3770" s="2" t="s">
        <v>2393</v>
      </c>
      <c r="D3770" s="3">
        <v>45637.973090277781</v>
      </c>
      <c r="E3770" s="2" t="s">
        <v>1629</v>
      </c>
    </row>
    <row r="3771" spans="1:5" ht="56" x14ac:dyDescent="0.2">
      <c r="A3771" s="2" t="s">
        <v>1509</v>
      </c>
      <c r="B3771" s="2" t="str">
        <f>HYPERLINK("https://www.bellinghamherald.com/news/business/article296977154.html")</f>
        <v>https://www.bellinghamherald.com/news/business/article296977154.html</v>
      </c>
      <c r="C3771" s="2" t="s">
        <v>2439</v>
      </c>
      <c r="D3771" s="3">
        <v>45637.973090277781</v>
      </c>
      <c r="E3771" s="2" t="s">
        <v>1629</v>
      </c>
    </row>
    <row r="3772" spans="1:5" ht="56" x14ac:dyDescent="0.2">
      <c r="A3772" s="2" t="s">
        <v>1509</v>
      </c>
      <c r="B3772" s="2" t="str">
        <f>HYPERLINK("https://www.sanluisobispo.com/news/business/article296977154.html")</f>
        <v>https://www.sanluisobispo.com/news/business/article296977154.html</v>
      </c>
      <c r="C3772" s="2" t="s">
        <v>2451</v>
      </c>
      <c r="D3772" s="3">
        <v>45637.973090277781</v>
      </c>
      <c r="E3772" s="2" t="s">
        <v>1629</v>
      </c>
    </row>
    <row r="3773" spans="1:5" ht="56" x14ac:dyDescent="0.2">
      <c r="A3773" s="2" t="s">
        <v>1509</v>
      </c>
      <c r="B3773" s="2" t="str">
        <f>HYPERLINK("https://www.kansas.com/news/business/article296977154.html")</f>
        <v>https://www.kansas.com/news/business/article296977154.html</v>
      </c>
      <c r="C3773" s="2" t="s">
        <v>2561</v>
      </c>
      <c r="D3773" s="3">
        <v>45637.973090277781</v>
      </c>
      <c r="E3773" s="2" t="s">
        <v>1629</v>
      </c>
    </row>
    <row r="3774" spans="1:5" ht="56" x14ac:dyDescent="0.2">
      <c r="A3774" s="2" t="s">
        <v>1509</v>
      </c>
      <c r="B3774" s="2" t="str">
        <f>HYPERLINK("https://www.thenewstribune.com/news/business/article296977154.html")</f>
        <v>https://www.thenewstribune.com/news/business/article296977154.html</v>
      </c>
      <c r="C3774" s="2" t="s">
        <v>2645</v>
      </c>
      <c r="D3774" s="3">
        <v>45637.973090277781</v>
      </c>
      <c r="E3774" s="2" t="s">
        <v>1629</v>
      </c>
    </row>
    <row r="3775" spans="1:5" ht="56" x14ac:dyDescent="0.2">
      <c r="A3775" s="2" t="s">
        <v>1509</v>
      </c>
      <c r="B3775" s="2" t="str">
        <f>HYPERLINK("https://www.idahostatesman.com/news/business/article296977154.html")</f>
        <v>https://www.idahostatesman.com/news/business/article296977154.html</v>
      </c>
      <c r="C3775" s="2" t="s">
        <v>2707</v>
      </c>
      <c r="D3775" s="3">
        <v>45637.973090277781</v>
      </c>
      <c r="E3775" s="2" t="s">
        <v>1629</v>
      </c>
    </row>
    <row r="3776" spans="1:5" ht="56" x14ac:dyDescent="0.2">
      <c r="A3776" s="2" t="s">
        <v>1509</v>
      </c>
      <c r="B3776" s="2" t="str">
        <f>HYPERLINK("https://www.kentucky.com/news/business/article296977154.html")</f>
        <v>https://www.kentucky.com/news/business/article296977154.html</v>
      </c>
      <c r="C3776" s="2" t="s">
        <v>2724</v>
      </c>
      <c r="D3776" s="3">
        <v>45637.973090277781</v>
      </c>
      <c r="E3776" s="2" t="s">
        <v>1629</v>
      </c>
    </row>
    <row r="3777" spans="1:5" ht="56" x14ac:dyDescent="0.2">
      <c r="A3777" s="2" t="s">
        <v>1509</v>
      </c>
      <c r="B3777" s="2" t="str">
        <f>HYPERLINK("https://www.thestate.com/news/business/article296977154.html")</f>
        <v>https://www.thestate.com/news/business/article296977154.html</v>
      </c>
      <c r="C3777" s="2" t="s">
        <v>2820</v>
      </c>
      <c r="D3777" s="3">
        <v>45637.973090277781</v>
      </c>
      <c r="E3777" s="2" t="s">
        <v>1629</v>
      </c>
    </row>
    <row r="3778" spans="1:5" ht="56" x14ac:dyDescent="0.2">
      <c r="A3778" s="2" t="s">
        <v>1509</v>
      </c>
      <c r="B3778" s="2" t="str">
        <f>HYPERLINK("https://www.star-telegram.com/news/business/article296977154.html")</f>
        <v>https://www.star-telegram.com/news/business/article296977154.html</v>
      </c>
      <c r="C3778" s="2" t="s">
        <v>2878</v>
      </c>
      <c r="D3778" s="3">
        <v>45637.973090277781</v>
      </c>
      <c r="E3778" s="2" t="s">
        <v>1629</v>
      </c>
    </row>
    <row r="3779" spans="1:5" ht="56" x14ac:dyDescent="0.2">
      <c r="A3779" s="2" t="s">
        <v>1509</v>
      </c>
      <c r="B3779" s="2" t="str">
        <f>HYPERLINK("https://www.miamiherald.com/news/business/article296977154.html")</f>
        <v>https://www.miamiherald.com/news/business/article296977154.html</v>
      </c>
      <c r="C3779" s="2" t="s">
        <v>3376</v>
      </c>
      <c r="D3779" s="3">
        <v>45637.973090277781</v>
      </c>
      <c r="E3779" s="2" t="s">
        <v>1629</v>
      </c>
    </row>
    <row r="3780" spans="1:5" ht="56" x14ac:dyDescent="0.2">
      <c r="A3780" s="2" t="s">
        <v>1400</v>
      </c>
      <c r="B3780" s="2" t="str">
        <f>HYPERLINK("https://sanfernandosun.com/2024/12/11/more-beans-and-less-red-meat-nutrition-experts-weigh-in-on-us-dietary-guidelines/")</f>
        <v>https://sanfernandosun.com/2024/12/11/more-beans-and-less-red-meat-nutrition-experts-weigh-in-on-us-dietary-guidelines/</v>
      </c>
      <c r="C3780" s="2" t="s">
        <v>1401</v>
      </c>
      <c r="D3780" s="3">
        <v>45638.019282407397</v>
      </c>
      <c r="E3780" s="2" t="s">
        <v>38</v>
      </c>
    </row>
    <row r="3781" spans="1:5" ht="84" x14ac:dyDescent="0.2">
      <c r="A3781" s="2" t="s">
        <v>292</v>
      </c>
      <c r="B3781" s="2" t="str">
        <f>HYPERLINK("https://www.jhnewsandguide.com/jackson_hole_daily/our_world_people/our_world/more-beans-and-less-red-meat-nutrition-experts-weigh-in-on-us-dietary-guidelines/article_72cd2133-3b85-5ff9-b6be-9b81381e1dbb.html")</f>
        <v>https://www.jhnewsandguide.com/jackson_hole_daily/our_world_people/our_world/more-beans-and-less-red-meat-nutrition-experts-weigh-in-on-us-dietary-guidelines/article_72cd2133-3b85-5ff9-b6be-9b81381e1dbb.html</v>
      </c>
      <c r="C3781" s="2" t="s">
        <v>2243</v>
      </c>
      <c r="D3781" s="3">
        <v>45638.109131944453</v>
      </c>
      <c r="E3781" s="2" t="s">
        <v>328</v>
      </c>
    </row>
    <row r="3782" spans="1:5" ht="70" x14ac:dyDescent="0.2">
      <c r="A3782" s="2" t="s">
        <v>3889</v>
      </c>
      <c r="B3782" s="2" t="str">
        <f>HYPERLINK("https://obnews.co/Index/flowNewsDetail/id/7941399.html?val=993346e84cb8f3ecfd87ff537938b4fa")</f>
        <v>https://obnews.co/Index/flowNewsDetail/id/7941399.html?val=993346e84cb8f3ecfd87ff537938b4fa</v>
      </c>
      <c r="C3782" s="2" t="s">
        <v>3890</v>
      </c>
      <c r="D3782" s="3">
        <v>45638.132407407407</v>
      </c>
      <c r="E3782" s="2" t="s">
        <v>3727</v>
      </c>
    </row>
    <row r="3783" spans="1:5" ht="70" x14ac:dyDescent="0.2">
      <c r="A3783" s="2" t="s">
        <v>3889</v>
      </c>
      <c r="B3783" s="2" t="str">
        <f>HYPERLINK("https://www.themobiworld.com/Index/flowNewsDetail/id/7941399.html")</f>
        <v>https://www.themobiworld.com/Index/flowNewsDetail/id/7941399.html</v>
      </c>
      <c r="C3783" s="2" t="s">
        <v>4045</v>
      </c>
      <c r="D3783" s="3">
        <v>45638.132407407407</v>
      </c>
      <c r="E3783" s="2" t="s">
        <v>3727</v>
      </c>
    </row>
    <row r="3784" spans="1:5" ht="224" x14ac:dyDescent="0.2">
      <c r="A3784" s="2" t="s">
        <v>2476</v>
      </c>
      <c r="B3784" s="2" t="str">
        <f>HYPERLINK("https://burmese.voanews.com/a/dietary-guidelines-for-americans-2025/7898770.html")</f>
        <v>https://burmese.voanews.com/a/dietary-guidelines-for-americans-2025/7898770.html</v>
      </c>
      <c r="C3784" s="2" t="s">
        <v>2477</v>
      </c>
      <c r="D3784" s="3">
        <v>45638.171770833331</v>
      </c>
      <c r="E3784" s="2" t="s">
        <v>2478</v>
      </c>
    </row>
    <row r="3785" spans="1:5" ht="154" x14ac:dyDescent="0.2">
      <c r="A3785" s="2" t="s">
        <v>3855</v>
      </c>
      <c r="B3785" s="2" t="str">
        <f>HYPERLINK("https://viralmag.fr/grippe-aviaire-peut-on-consommer-oeufs-poulet-et-produits-laitiers-sans-risque/")</f>
        <v>https://viralmag.fr/grippe-aviaire-peut-on-consommer-oeufs-poulet-et-produits-laitiers-sans-risque/</v>
      </c>
      <c r="C3785" s="2" t="s">
        <v>3856</v>
      </c>
      <c r="D3785" s="3">
        <v>45638.1721875</v>
      </c>
      <c r="E3785" s="2" t="s">
        <v>3857</v>
      </c>
    </row>
    <row r="3786" spans="1:5" ht="56" x14ac:dyDescent="0.2">
      <c r="A3786" s="2" t="s">
        <v>3660</v>
      </c>
      <c r="B3786" s="2" t="str">
        <f>HYPERLINK("https://flashstory.net/new-dietary-guidelines-recommend-more-plant-based-foods-limit-processed-items-and-added-sugars/")</f>
        <v>https://flashstory.net/new-dietary-guidelines-recommend-more-plant-based-foods-limit-processed-items-and-added-sugars/</v>
      </c>
      <c r="C3786" s="2" t="s">
        <v>4021</v>
      </c>
      <c r="D3786" s="3">
        <v>45638.174143518518</v>
      </c>
      <c r="E3786" s="2" t="s">
        <v>38</v>
      </c>
    </row>
    <row r="3787" spans="1:5" ht="56" x14ac:dyDescent="0.2">
      <c r="A3787" s="2" t="s">
        <v>1509</v>
      </c>
      <c r="B3787" s="2" t="str">
        <f>HYPERLINK("https://www.ledger-enquirer.com/news/business/article296977154.html")</f>
        <v>https://www.ledger-enquirer.com/news/business/article296977154.html</v>
      </c>
      <c r="C3787" s="2" t="s">
        <v>2153</v>
      </c>
      <c r="D3787" s="3">
        <v>45638.192719907413</v>
      </c>
      <c r="E3787" s="2" t="s">
        <v>1629</v>
      </c>
    </row>
    <row r="3788" spans="1:5" ht="56" x14ac:dyDescent="0.2">
      <c r="A3788" s="2" t="s">
        <v>1509</v>
      </c>
      <c r="B3788" s="2" t="str">
        <f>HYPERLINK("https://www.mercedsunstar.com/news/business/article296977154.html")</f>
        <v>https://www.mercedsunstar.com/news/business/article296977154.html</v>
      </c>
      <c r="C3788" s="2" t="s">
        <v>2396</v>
      </c>
      <c r="D3788" s="3">
        <v>45638.19327546296</v>
      </c>
      <c r="E3788" s="2" t="s">
        <v>1629</v>
      </c>
    </row>
    <row r="3789" spans="1:5" ht="56" x14ac:dyDescent="0.2">
      <c r="A3789" s="2" t="s">
        <v>1509</v>
      </c>
      <c r="B3789" s="2" t="str">
        <f>HYPERLINK("https://www.sunherald.com/news/business/article296977154.html")</f>
        <v>https://www.sunherald.com/news/business/article296977154.html</v>
      </c>
      <c r="C3789" s="2" t="s">
        <v>2440</v>
      </c>
      <c r="D3789" s="3">
        <v>45638.193553240737</v>
      </c>
      <c r="E3789" s="2" t="s">
        <v>1629</v>
      </c>
    </row>
    <row r="3790" spans="1:5" ht="56" x14ac:dyDescent="0.2">
      <c r="A3790" s="2" t="s">
        <v>1509</v>
      </c>
      <c r="B3790" s="2" t="str">
        <f>HYPERLINK("https://www.myrtlebeachonline.com/news/business/article296977154.html")</f>
        <v>https://www.myrtlebeachonline.com/news/business/article296977154.html</v>
      </c>
      <c r="C3790" s="2" t="s">
        <v>2379</v>
      </c>
      <c r="D3790" s="3">
        <v>45638.194282407407</v>
      </c>
      <c r="E3790" s="2" t="s">
        <v>1629</v>
      </c>
    </row>
    <row r="3791" spans="1:5" ht="56" x14ac:dyDescent="0.2">
      <c r="A3791" s="2" t="s">
        <v>1509</v>
      </c>
      <c r="B3791" s="2" t="str">
        <f>HYPERLINK("https://www.macon.com/news/business/article296977154.html")</f>
        <v>https://www.macon.com/news/business/article296977154.html</v>
      </c>
      <c r="C3791" s="2" t="s">
        <v>2289</v>
      </c>
      <c r="D3791" s="3">
        <v>45638.194976851853</v>
      </c>
      <c r="E3791" s="2" t="s">
        <v>1629</v>
      </c>
    </row>
    <row r="3792" spans="1:5" ht="56" x14ac:dyDescent="0.2">
      <c r="A3792" s="2" t="s">
        <v>1509</v>
      </c>
      <c r="B3792" s="2" t="str">
        <f>HYPERLINK("https://www.islandpacket.com/news/business/article296977154.html")</f>
        <v>https://www.islandpacket.com/news/business/article296977154.html</v>
      </c>
      <c r="C3792" s="2" t="s">
        <v>2385</v>
      </c>
      <c r="D3792" s="3">
        <v>45638.195335648154</v>
      </c>
      <c r="E3792" s="2" t="s">
        <v>1629</v>
      </c>
    </row>
    <row r="3793" spans="1:5" ht="56" x14ac:dyDescent="0.2">
      <c r="A3793" s="2" t="s">
        <v>1509</v>
      </c>
      <c r="B3793" s="2" t="str">
        <f>HYPERLINK("https://www.kansascity.com/news/business/article296977154.html")</f>
        <v>https://www.kansascity.com/news/business/article296977154.html</v>
      </c>
      <c r="C3793" s="2" t="s">
        <v>3125</v>
      </c>
      <c r="D3793" s="3">
        <v>45638.195405092592</v>
      </c>
      <c r="E3793" s="2" t="s">
        <v>1629</v>
      </c>
    </row>
    <row r="3794" spans="1:5" ht="56" x14ac:dyDescent="0.2">
      <c r="A3794" s="2" t="s">
        <v>1509</v>
      </c>
      <c r="B3794" s="2" t="str">
        <f>HYPERLINK("https://www.charlotteobserver.com/news/business/article296977154.html")</f>
        <v>https://www.charlotteobserver.com/news/business/article296977154.html</v>
      </c>
      <c r="C3794" s="2" t="s">
        <v>2993</v>
      </c>
      <c r="D3794" s="3">
        <v>45638.195810185192</v>
      </c>
      <c r="E3794" s="2" t="s">
        <v>1629</v>
      </c>
    </row>
    <row r="3795" spans="1:5" ht="56" x14ac:dyDescent="0.2">
      <c r="A3795" s="2" t="s">
        <v>1509</v>
      </c>
      <c r="B3795" s="2" t="str">
        <f>HYPERLINK("https://www.newsobserver.com/news/business/article296977154.html")</f>
        <v>https://www.newsobserver.com/news/business/article296977154.html</v>
      </c>
      <c r="C3795" s="2" t="s">
        <v>3049</v>
      </c>
      <c r="D3795" s="3">
        <v>45638.196446759262</v>
      </c>
      <c r="E3795" s="2" t="s">
        <v>1629</v>
      </c>
    </row>
    <row r="3796" spans="1:5" ht="56" x14ac:dyDescent="0.2">
      <c r="A3796" s="2" t="s">
        <v>1509</v>
      </c>
      <c r="B3796" s="2" t="str">
        <f>HYPERLINK("https://www.centredaily.com/news/business/article296977154.html")</f>
        <v>https://www.centredaily.com/news/business/article296977154.html</v>
      </c>
      <c r="C3796" s="2" t="s">
        <v>2248</v>
      </c>
      <c r="D3796" s="3">
        <v>45638.196481481478</v>
      </c>
      <c r="E3796" s="2" t="s">
        <v>1629</v>
      </c>
    </row>
    <row r="3797" spans="1:5" ht="56" x14ac:dyDescent="0.2">
      <c r="A3797" s="2" t="s">
        <v>1509</v>
      </c>
      <c r="B3797" s="2" t="str">
        <f>HYPERLINK("https://www.heraldonline.com/news/business/article296977154.html")</f>
        <v>https://www.heraldonline.com/news/business/article296977154.html</v>
      </c>
      <c r="C3797" s="2" t="s">
        <v>1996</v>
      </c>
      <c r="D3797" s="3">
        <v>45638.196666666663</v>
      </c>
      <c r="E3797" s="2" t="s">
        <v>1629</v>
      </c>
    </row>
    <row r="3798" spans="1:5" ht="56" x14ac:dyDescent="0.2">
      <c r="A3798" s="2" t="s">
        <v>1509</v>
      </c>
      <c r="B3798" s="2" t="str">
        <f>HYPERLINK("https://www.bnd.com/news/business/article296977154.html")</f>
        <v>https://www.bnd.com/news/business/article296977154.html</v>
      </c>
      <c r="C3798" s="2" t="s">
        <v>2406</v>
      </c>
      <c r="D3798" s="3">
        <v>45638.198333333326</v>
      </c>
      <c r="E3798" s="2" t="s">
        <v>1629</v>
      </c>
    </row>
    <row r="3799" spans="1:5" ht="56" x14ac:dyDescent="0.2">
      <c r="A3799" s="2" t="s">
        <v>4036</v>
      </c>
      <c r="B3799" s="2" t="str">
        <f>HYPERLINK("https://creativebharat.com/new-dietary-guidelines-recommend-more-plant-based-foods-limit-processed-items-and-added-sugars-health/")</f>
        <v>https://creativebharat.com/new-dietary-guidelines-recommend-more-plant-based-foods-limit-processed-items-and-added-sugars-health/</v>
      </c>
      <c r="C3799" s="2" t="s">
        <v>4037</v>
      </c>
      <c r="D3799" s="3">
        <v>45638.199537037042</v>
      </c>
      <c r="E3799" s="2" t="s">
        <v>38</v>
      </c>
    </row>
    <row r="3800" spans="1:5" ht="56" x14ac:dyDescent="0.2">
      <c r="A3800" s="2" t="s">
        <v>1509</v>
      </c>
      <c r="B3800" s="2" t="str">
        <f>HYPERLINK("https://www.fresnobee.com/news/business/article296977154.html")</f>
        <v>https://www.fresnobee.com/news/business/article296977154.html</v>
      </c>
      <c r="C3800" s="2" t="s">
        <v>2447</v>
      </c>
      <c r="D3800" s="3">
        <v>45638.199837962973</v>
      </c>
      <c r="E3800" s="2" t="s">
        <v>1629</v>
      </c>
    </row>
    <row r="3801" spans="1:5" ht="42" x14ac:dyDescent="0.2">
      <c r="A3801" s="2" t="s">
        <v>122</v>
      </c>
      <c r="B3801" s="2" t="str">
        <f>HYPERLINK("http://kioa.com/news/030030-more-beans-and-less-red-meat-nutritionists-weigh-in-on-us-dietary-guidelines/")</f>
        <v>http://kioa.com/news/030030-more-beans-and-less-red-meat-nutritionists-weigh-in-on-us-dietary-guidelines/</v>
      </c>
      <c r="C3801" s="2" t="s">
        <v>1218</v>
      </c>
      <c r="D3801" s="3">
        <v>45638.290046296293</v>
      </c>
      <c r="E3801" s="2" t="s">
        <v>38</v>
      </c>
    </row>
    <row r="3802" spans="1:5" ht="56" x14ac:dyDescent="0.2">
      <c r="A3802" s="2" t="s">
        <v>292</v>
      </c>
      <c r="B3802" s="2" t="str">
        <f>HYPERLINK("https://cdispatch.com/news/more-beans-and-less-red-meat-nutrition-experts-weigh-in-on-us-dietary-guidelines/")</f>
        <v>https://cdispatch.com/news/more-beans-and-less-red-meat-nutrition-experts-weigh-in-on-us-dietary-guidelines/</v>
      </c>
      <c r="C3802" s="2" t="s">
        <v>1686</v>
      </c>
      <c r="D3802" s="3">
        <v>45638.343009259261</v>
      </c>
      <c r="E3802" s="2" t="s">
        <v>38</v>
      </c>
    </row>
    <row r="3803" spans="1:5" ht="70" x14ac:dyDescent="0.2">
      <c r="A3803" s="2" t="s">
        <v>3656</v>
      </c>
      <c r="B3803" s="2" t="str">
        <f>HYPERLINK("https://www.dailymail.co.uk/galleries/article-14187203/New-report-recommends-changing-dietary-guidelines.html")</f>
        <v>https://www.dailymail.co.uk/galleries/article-14187203/New-report-recommends-changing-dietary-guidelines.html</v>
      </c>
      <c r="C3803" s="2" t="s">
        <v>3655</v>
      </c>
      <c r="D3803" s="3">
        <v>45638.378819444442</v>
      </c>
      <c r="E3803" s="2" t="s">
        <v>3657</v>
      </c>
    </row>
    <row r="3804" spans="1:5" ht="70" x14ac:dyDescent="0.2">
      <c r="A3804" s="2" t="s">
        <v>3660</v>
      </c>
      <c r="B3804" s="2" t="str">
        <f>HYPERLINK("https://www.hindustantimes.com/lifestyle/health/new-dietary-guidelines-recommend-more-plant-based-foods-limit-processed-items-and-added-sugars-101734009029149.html")</f>
        <v>https://www.hindustantimes.com/lifestyle/health/new-dietary-guidelines-recommend-more-plant-based-foods-limit-processed-items-and-added-sugars-101734009029149.html</v>
      </c>
      <c r="C3804" s="2" t="s">
        <v>3661</v>
      </c>
      <c r="D3804" s="3">
        <v>45638.385520833333</v>
      </c>
      <c r="E3804" s="2" t="s">
        <v>38</v>
      </c>
    </row>
    <row r="3805" spans="1:5" ht="42" x14ac:dyDescent="0.2">
      <c r="A3805" s="2" t="s">
        <v>375</v>
      </c>
      <c r="B3805" s="2" t="str">
        <f>HYPERLINK("https://www.yahoo.com/lifestyle/lowly-vegetable-rises-stardom-newly-222523020.html")</f>
        <v>https://www.yahoo.com/lifestyle/lowly-vegetable-rises-stardom-newly-222523020.html</v>
      </c>
      <c r="C3805" s="2" t="s">
        <v>3726</v>
      </c>
      <c r="D3805" s="3">
        <v>45638.517627314817</v>
      </c>
      <c r="E3805" s="2" t="s">
        <v>376</v>
      </c>
    </row>
    <row r="3806" spans="1:5" ht="70" x14ac:dyDescent="0.2">
      <c r="A3806" s="2" t="s">
        <v>3658</v>
      </c>
      <c r="B3806" s="2" t="str">
        <f>HYPERLINK("https://www.dailymail.co.uk/health/article-14185953/trump-health-guidelines-avoid-red-meat-plant-protein.html")</f>
        <v>https://www.dailymail.co.uk/health/article-14185953/trump-health-guidelines-avoid-red-meat-plant-protein.html</v>
      </c>
      <c r="C3806" s="2" t="s">
        <v>3655</v>
      </c>
      <c r="D3806" s="3">
        <v>45638.569791666669</v>
      </c>
      <c r="E3806" s="2" t="s">
        <v>3657</v>
      </c>
    </row>
    <row r="3807" spans="1:5" ht="42" x14ac:dyDescent="0.2">
      <c r="A3807" s="2" t="s">
        <v>2254</v>
      </c>
      <c r="B3807" s="2" t="str">
        <f>HYPERLINK("https://www.creators.com/read/c-force/12/24/fighting-the-bliss-point-formula")</f>
        <v>https://www.creators.com/read/c-force/12/24/fighting-the-bliss-point-formula</v>
      </c>
      <c r="C3807" s="2" t="s">
        <v>2255</v>
      </c>
      <c r="D3807" s="3">
        <v>45638.583333333343</v>
      </c>
      <c r="E3807" s="2" t="s">
        <v>1628</v>
      </c>
    </row>
    <row r="3808" spans="1:5" ht="56" x14ac:dyDescent="0.2">
      <c r="A3808" s="2" t="s">
        <v>2866</v>
      </c>
      <c r="B3808" s="2" t="str">
        <f>HYPERLINK("https://www.newser.com/story/360969/new-dietary-guidelines-could-be-big-on-beans.html")</f>
        <v>https://www.newser.com/story/360969/new-dietary-guidelines-could-be-big-on-beans.html</v>
      </c>
      <c r="C3808" s="2" t="s">
        <v>2867</v>
      </c>
      <c r="D3808" s="3">
        <v>45638.618842592587</v>
      </c>
      <c r="E3808" s="2" t="s">
        <v>2868</v>
      </c>
    </row>
    <row r="3809" spans="1:5" ht="56" x14ac:dyDescent="0.2">
      <c r="A3809" s="2" t="s">
        <v>3343</v>
      </c>
      <c r="B3809" s="2" t="str">
        <f>HYPERLINK("https://www.chicagotribune.com/2024/12/12/dietary-guidelines-committee-punts-on-ultra-processed-food-a-win-for-food-companies/")</f>
        <v>https://www.chicagotribune.com/2024/12/12/dietary-guidelines-committee-punts-on-ultra-processed-food-a-win-for-food-companies/</v>
      </c>
      <c r="C3809" s="2" t="s">
        <v>3344</v>
      </c>
      <c r="D3809" s="3">
        <v>45638.658310185187</v>
      </c>
      <c r="E3809" s="2" t="s">
        <v>1510</v>
      </c>
    </row>
    <row r="3810" spans="1:5" ht="42" x14ac:dyDescent="0.2">
      <c r="A3810" s="2" t="s">
        <v>1627</v>
      </c>
      <c r="B3810" s="2" t="str">
        <f>HYPERLINK("https://www.sacbee.com/entertainment/living/health-fitness/article297038189.html")</f>
        <v>https://www.sacbee.com/entertainment/living/health-fitness/article297038189.html</v>
      </c>
      <c r="C3810" s="2" t="s">
        <v>3104</v>
      </c>
      <c r="D3810" s="3">
        <v>45638.708333333343</v>
      </c>
      <c r="E3810" s="2" t="s">
        <v>1628</v>
      </c>
    </row>
    <row r="3811" spans="1:5" ht="42" x14ac:dyDescent="0.2">
      <c r="A3811" s="2" t="s">
        <v>3711</v>
      </c>
      <c r="B3811" s="2" t="str">
        <f>HYPERLINK("https://www.cnn.com/2024/12/12/health/beans-lentils-nutrition-advice-wellness/index.html")</f>
        <v>https://www.cnn.com/2024/12/12/health/beans-lentils-nutrition-advice-wellness/index.html</v>
      </c>
      <c r="C3811" s="2" t="s">
        <v>3705</v>
      </c>
      <c r="D3811" s="3">
        <v>45638.725972222222</v>
      </c>
      <c r="E3811" s="2" t="s">
        <v>376</v>
      </c>
    </row>
    <row r="3812" spans="1:5" ht="56" x14ac:dyDescent="0.2">
      <c r="A3812" s="2" t="s">
        <v>375</v>
      </c>
      <c r="B3812" s="2" t="str">
        <f>HYPERLINK("https://ktvz.com/health/cnn-health/2024/12/12/a-lowly-vegetable-rises-to-stardom-in-newly-released-dietary-advisory-report/")</f>
        <v>https://ktvz.com/health/cnn-health/2024/12/12/a-lowly-vegetable-rises-to-stardom-in-newly-released-dietary-advisory-report/</v>
      </c>
      <c r="C3812" s="2" t="s">
        <v>2747</v>
      </c>
      <c r="D3812" s="3">
        <v>45638.728067129632</v>
      </c>
      <c r="E3812" s="2" t="s">
        <v>376</v>
      </c>
    </row>
    <row r="3813" spans="1:5" ht="56" x14ac:dyDescent="0.2">
      <c r="A3813" s="2" t="s">
        <v>375</v>
      </c>
      <c r="B3813" s="2" t="str">
        <f>HYPERLINK("https://keyt.com/health/cnn-health/2024/12/12/a-lowly-vegetable-rises-to-stardom-in-newly-released-dietary-advisory-report/")</f>
        <v>https://keyt.com/health/cnn-health/2024/12/12/a-lowly-vegetable-rises-to-stardom-in-newly-released-dietary-advisory-report/</v>
      </c>
      <c r="C3813" s="2" t="s">
        <v>2330</v>
      </c>
      <c r="D3813" s="3">
        <v>45638.733622685177</v>
      </c>
      <c r="E3813" s="2" t="s">
        <v>376</v>
      </c>
    </row>
    <row r="3814" spans="1:5" ht="70" x14ac:dyDescent="0.2">
      <c r="A3814" s="2" t="s">
        <v>375</v>
      </c>
      <c r="B3814" s="2" t="str">
        <f>HYPERLINK("https://www.wsiltv.com/news/health/a-lowly-vegetable-rises-to-stardom-in-newly-released-dietary-advisory-report/article_dcb9c2a8-e2b7-5f02-a1d0-80976bf8e641.html")</f>
        <v>https://www.wsiltv.com/news/health/a-lowly-vegetable-rises-to-stardom-in-newly-released-dietary-advisory-report/article_dcb9c2a8-e2b7-5f02-a1d0-80976bf8e641.html</v>
      </c>
      <c r="C3814" s="2" t="s">
        <v>2232</v>
      </c>
      <c r="D3814" s="3">
        <v>45638.738391203697</v>
      </c>
      <c r="E3814" s="2" t="s">
        <v>376</v>
      </c>
    </row>
    <row r="3815" spans="1:5" ht="56" x14ac:dyDescent="0.2">
      <c r="A3815" s="2" t="s">
        <v>375</v>
      </c>
      <c r="B3815" s="2" t="str">
        <f>HYPERLINK("https://kvia.com/health/cnn-health/2024/12/12/a-lowly-vegetable-rises-to-stardom-in-newly-released-dietary-advisory-report/")</f>
        <v>https://kvia.com/health/cnn-health/2024/12/12/a-lowly-vegetable-rises-to-stardom-in-newly-released-dietary-advisory-report/</v>
      </c>
      <c r="C3815" s="2" t="s">
        <v>2358</v>
      </c>
      <c r="D3815" s="3">
        <v>45638.739131944443</v>
      </c>
      <c r="E3815" s="2" t="s">
        <v>376</v>
      </c>
    </row>
    <row r="3816" spans="1:5" ht="70" x14ac:dyDescent="0.2">
      <c r="A3816" s="2" t="s">
        <v>375</v>
      </c>
      <c r="B3816" s="2" t="str">
        <f>HYPERLINK("https://www.wevv.com/news/health/a-lowly-vegetable-rises-to-stardom-in-newly-released-dietary-advisory-report/article_56e962e3-dff9-5683-bef4-58ffe77c6ded.html")</f>
        <v>https://www.wevv.com/news/health/a-lowly-vegetable-rises-to-stardom-in-newly-released-dietary-advisory-report/article_56e962e3-dff9-5683-bef4-58ffe77c6ded.html</v>
      </c>
      <c r="C3816" s="2" t="s">
        <v>1926</v>
      </c>
      <c r="D3816" s="3">
        <v>45638.73982638889</v>
      </c>
      <c r="E3816" s="2" t="s">
        <v>376</v>
      </c>
    </row>
    <row r="3817" spans="1:5" ht="56" x14ac:dyDescent="0.2">
      <c r="A3817" s="2" t="s">
        <v>375</v>
      </c>
      <c r="B3817" s="2" t="str">
        <f>HYPERLINK("https://kesq.com/health/cnn-health/2024/12/12/a-lowly-vegetable-rises-to-stardom-in-newly-released-dietary-advisory-report/")</f>
        <v>https://kesq.com/health/cnn-health/2024/12/12/a-lowly-vegetable-rises-to-stardom-in-newly-released-dietary-advisory-report/</v>
      </c>
      <c r="C3817" s="2" t="s">
        <v>2448</v>
      </c>
      <c r="D3817" s="3">
        <v>45638.742013888892</v>
      </c>
      <c r="E3817" s="2" t="s">
        <v>376</v>
      </c>
    </row>
    <row r="3818" spans="1:5" ht="56" x14ac:dyDescent="0.2">
      <c r="A3818" s="2" t="s">
        <v>375</v>
      </c>
      <c r="B3818" s="2" t="str">
        <f>HYPERLINK("https://kion546.com/health/cnn-health/2024/12/12/a-lowly-vegetable-rises-to-stardom-in-newly-released-dietary-advisory-report/")</f>
        <v>https://kion546.com/health/cnn-health/2024/12/12/a-lowly-vegetable-rises-to-stardom-in-newly-released-dietary-advisory-report/</v>
      </c>
      <c r="C3818" s="2" t="s">
        <v>1955</v>
      </c>
      <c r="D3818" s="3">
        <v>45638.74417824074</v>
      </c>
      <c r="E3818" s="2" t="s">
        <v>376</v>
      </c>
    </row>
    <row r="3819" spans="1:5" ht="56" x14ac:dyDescent="0.2">
      <c r="A3819" s="2" t="s">
        <v>375</v>
      </c>
      <c r="B3819" s="2" t="str">
        <f>HYPERLINK("https://abc17news.com/cnn-health/2024/12/12/a-lowly-vegetable-rises-to-stardom-in-newly-released-dietary-advisory-report/")</f>
        <v>https://abc17news.com/cnn-health/2024/12/12/a-lowly-vegetable-rises-to-stardom-in-newly-released-dietary-advisory-report/</v>
      </c>
      <c r="C3819" s="2" t="s">
        <v>2484</v>
      </c>
      <c r="D3819" s="3">
        <v>45638.745254629634</v>
      </c>
      <c r="E3819" s="2" t="s">
        <v>376</v>
      </c>
    </row>
    <row r="3820" spans="1:5" ht="56" x14ac:dyDescent="0.2">
      <c r="A3820" s="2" t="s">
        <v>2168</v>
      </c>
      <c r="B3820" s="2" t="str">
        <f>HYPERLINK("https://localnews8.com/health/cnn-health/2024/12/12/a-lowly-vegetable-rises-to-stardom-in-newly-released-dietary-advisory-report/")</f>
        <v>https://localnews8.com/health/cnn-health/2024/12/12/a-lowly-vegetable-rises-to-stardom-in-newly-released-dietary-advisory-report/</v>
      </c>
      <c r="C3820" s="2" t="s">
        <v>2164</v>
      </c>
      <c r="D3820" s="3">
        <v>45638.74527777778</v>
      </c>
      <c r="E3820" s="2" t="s">
        <v>376</v>
      </c>
    </row>
    <row r="3821" spans="1:5" ht="42" x14ac:dyDescent="0.2">
      <c r="A3821" s="2" t="s">
        <v>375</v>
      </c>
      <c r="B3821" s="2" t="str">
        <f>HYPERLINK("https://krdo.com/news/2024/12/12/a-lowly-vegetable-rises-to-stardom-in-newly-released-dietary-advisory-report/")</f>
        <v>https://krdo.com/news/2024/12/12/a-lowly-vegetable-rises-to-stardom-in-newly-released-dietary-advisory-report/</v>
      </c>
      <c r="C3821" s="2" t="s">
        <v>2558</v>
      </c>
      <c r="D3821" s="3">
        <v>45638.746111111112</v>
      </c>
      <c r="E3821" s="2" t="s">
        <v>376</v>
      </c>
    </row>
    <row r="3822" spans="1:5" ht="70" x14ac:dyDescent="0.2">
      <c r="A3822" s="2" t="s">
        <v>375</v>
      </c>
      <c r="B3822" s="2" t="str">
        <f>HYPERLINK("https://www.koamnewsnow.com/news/health/a-lowly-vegetable-rises-to-stardom-in-newly-released-dietary-advisory-report/article_f9aae6eb-3d58-5b03-bdca-401595c298b2.html")</f>
        <v>https://www.koamnewsnow.com/news/health/a-lowly-vegetable-rises-to-stardom-in-newly-released-dietary-advisory-report/article_f9aae6eb-3d58-5b03-bdca-401595c298b2.html</v>
      </c>
      <c r="C3822" s="2" t="s">
        <v>2024</v>
      </c>
      <c r="D3822" s="3">
        <v>45638.751006944447</v>
      </c>
      <c r="E3822" s="2" t="s">
        <v>376</v>
      </c>
    </row>
    <row r="3823" spans="1:5" ht="70" x14ac:dyDescent="0.2">
      <c r="A3823" s="2" t="s">
        <v>375</v>
      </c>
      <c r="B3823" s="2" t="str">
        <f>HYPERLINK("https://www.crossroadstoday.com/news/health/a-lowly-vegetable-rises-to-stardom-in-newly-released-dietary-advisory-report/article_640d5bd5-05c4-55cc-9922-24fcf0e2740e.html")</f>
        <v>https://www.crossroadstoday.com/news/health/a-lowly-vegetable-rises-to-stardom-in-newly-released-dietary-advisory-report/article_640d5bd5-05c4-55cc-9922-24fcf0e2740e.html</v>
      </c>
      <c r="C3823" s="2" t="s">
        <v>1821</v>
      </c>
      <c r="D3823" s="3">
        <v>45638.781365740739</v>
      </c>
      <c r="E3823" s="2" t="s">
        <v>376</v>
      </c>
    </row>
    <row r="3824" spans="1:5" ht="70" x14ac:dyDescent="0.2">
      <c r="A3824" s="2" t="s">
        <v>375</v>
      </c>
      <c r="B3824" s="2" t="str">
        <f>HYPERLINK("https://www.albanyherald.com/features/health/a-lowly-vegetable-rises-to-stardom-in-newly-released-dietary-advisory-report/article_e7c3a2a6-df41-55d3-9c37-d78bd6bf5f7f.html")</f>
        <v>https://www.albanyherald.com/features/health/a-lowly-vegetable-rises-to-stardom-in-newly-released-dietary-advisory-report/article_e7c3a2a6-df41-55d3-9c37-d78bd6bf5f7f.html</v>
      </c>
      <c r="C3824" s="2" t="s">
        <v>1936</v>
      </c>
      <c r="D3824" s="3">
        <v>45638.787037037036</v>
      </c>
      <c r="E3824" s="2" t="s">
        <v>376</v>
      </c>
    </row>
    <row r="3825" spans="1:5" ht="154" x14ac:dyDescent="0.2">
      <c r="A3825" s="2" t="s">
        <v>2245</v>
      </c>
      <c r="B3825" s="2" t="str">
        <f>HYPERLINK("https://info.vanpeople.com/1649180.html")</f>
        <v>https://info.vanpeople.com/1649180.html</v>
      </c>
      <c r="C3825" s="2" t="s">
        <v>2206</v>
      </c>
      <c r="D3825" s="3">
        <v>45638.791666666657</v>
      </c>
      <c r="E3825" s="2" t="s">
        <v>2246</v>
      </c>
    </row>
    <row r="3826" spans="1:5" ht="42" x14ac:dyDescent="0.2">
      <c r="A3826" s="2" t="s">
        <v>1627</v>
      </c>
      <c r="B3826" s="2" t="str">
        <f>HYPERLINK("https://www.arcamax.com/healthandspirit/chucknorris/s-3517135")</f>
        <v>https://www.arcamax.com/healthandspirit/chucknorris/s-3517135</v>
      </c>
      <c r="C3826" s="2" t="s">
        <v>2841</v>
      </c>
      <c r="D3826" s="3">
        <v>45638.791666666657</v>
      </c>
      <c r="E3826" s="2" t="s">
        <v>1628</v>
      </c>
    </row>
    <row r="3827" spans="1:5" ht="70" x14ac:dyDescent="0.2">
      <c r="A3827" s="2" t="s">
        <v>2214</v>
      </c>
      <c r="B3827" s="2" t="str">
        <f>HYPERLINK("https://www.iask.ca/news/1052681")</f>
        <v>https://www.iask.ca/news/1052681</v>
      </c>
      <c r="C3827" s="2" t="s">
        <v>2215</v>
      </c>
      <c r="D3827" s="3">
        <v>45638.803506944438</v>
      </c>
      <c r="E3827" s="2" t="s">
        <v>1908</v>
      </c>
    </row>
    <row r="3828" spans="1:5" ht="42" x14ac:dyDescent="0.2">
      <c r="A3828" s="2" t="s">
        <v>122</v>
      </c>
      <c r="B3828" s="2" t="str">
        <f>HYPERLINK("http://wnax.com/news/030030-more-beans-and-less-red-meat-nutritionists-weigh-in-on-us-dietary-guidelines/")</f>
        <v>http://wnax.com/news/030030-more-beans-and-less-red-meat-nutritionists-weigh-in-on-us-dietary-guidelines/</v>
      </c>
      <c r="C3828" s="2" t="s">
        <v>4089</v>
      </c>
      <c r="D3828" s="3">
        <v>45638.844722222217</v>
      </c>
      <c r="E3828" s="2" t="s">
        <v>38</v>
      </c>
    </row>
    <row r="3829" spans="1:5" ht="56" x14ac:dyDescent="0.2">
      <c r="A3829" s="2" t="s">
        <v>375</v>
      </c>
      <c r="B3829" s="2" t="str">
        <f>HYPERLINK("https://wtop.com/health-fitness/2024/12/a-lowly-vegetable-rises-to-stardom-in-newly-released-dietary-advisory-report/")</f>
        <v>https://wtop.com/health-fitness/2024/12/a-lowly-vegetable-rises-to-stardom-in-newly-released-dietary-advisory-report/</v>
      </c>
      <c r="C3829" s="2" t="s">
        <v>3076</v>
      </c>
      <c r="D3829" s="3">
        <v>45638.892152777778</v>
      </c>
      <c r="E3829" s="2" t="s">
        <v>376</v>
      </c>
    </row>
    <row r="3830" spans="1:5" ht="42" x14ac:dyDescent="0.2">
      <c r="A3830" s="2" t="s">
        <v>1627</v>
      </c>
      <c r="B3830" s="2" t="str">
        <f>HYPERLINK("https://www.heraldsun.com/living/article297038189.html")</f>
        <v>https://www.heraldsun.com/living/article297038189.html</v>
      </c>
      <c r="C3830" s="2" t="s">
        <v>1625</v>
      </c>
      <c r="D3830" s="3">
        <v>45638.916666666657</v>
      </c>
      <c r="E3830" s="2" t="s">
        <v>1628</v>
      </c>
    </row>
    <row r="3831" spans="1:5" ht="42" x14ac:dyDescent="0.2">
      <c r="A3831" s="2" t="s">
        <v>1627</v>
      </c>
      <c r="B3831" s="2" t="str">
        <f>HYPERLINK("https://www.mahoningmatters.com/living/article297038189.html")</f>
        <v>https://www.mahoningmatters.com/living/article297038189.html</v>
      </c>
      <c r="C3831" s="2" t="s">
        <v>1822</v>
      </c>
      <c r="D3831" s="3">
        <v>45638.916666666657</v>
      </c>
      <c r="E3831" s="2" t="s">
        <v>1628</v>
      </c>
    </row>
    <row r="3832" spans="1:5" ht="42" x14ac:dyDescent="0.2">
      <c r="A3832" s="2" t="s">
        <v>1627</v>
      </c>
      <c r="B3832" s="2" t="str">
        <f>HYPERLINK("https://www.bradenton.com/living/article297038189.html")</f>
        <v>https://www.bradenton.com/living/article297038189.html</v>
      </c>
      <c r="C3832" s="2" t="s">
        <v>2218</v>
      </c>
      <c r="D3832" s="3">
        <v>45638.916666666657</v>
      </c>
      <c r="E3832" s="2" t="s">
        <v>1628</v>
      </c>
    </row>
    <row r="3833" spans="1:5" ht="42" x14ac:dyDescent="0.2">
      <c r="A3833" s="2" t="s">
        <v>1627</v>
      </c>
      <c r="B3833" s="2" t="str">
        <f>HYPERLINK("https://www.modbee.com/living/health-fitness/article297038189.html")</f>
        <v>https://www.modbee.com/living/health-fitness/article297038189.html</v>
      </c>
      <c r="C3833" s="2" t="s">
        <v>2247</v>
      </c>
      <c r="D3833" s="3">
        <v>45638.916666666657</v>
      </c>
      <c r="E3833" s="2" t="s">
        <v>1628</v>
      </c>
    </row>
    <row r="3834" spans="1:5" ht="42" x14ac:dyDescent="0.2">
      <c r="A3834" s="2" t="s">
        <v>1627</v>
      </c>
      <c r="B3834" s="2" t="str">
        <f>HYPERLINK("https://www.theolympian.com/living/health-fitness/article297038189.html")</f>
        <v>https://www.theolympian.com/living/health-fitness/article297038189.html</v>
      </c>
      <c r="C3834" s="2" t="s">
        <v>2262</v>
      </c>
      <c r="D3834" s="3">
        <v>45638.916666666657</v>
      </c>
      <c r="E3834" s="2" t="s">
        <v>1628</v>
      </c>
    </row>
    <row r="3835" spans="1:5" ht="42" x14ac:dyDescent="0.2">
      <c r="A3835" s="2" t="s">
        <v>1627</v>
      </c>
      <c r="B3835" s="2" t="str">
        <f>HYPERLINK("https://www.bellinghamherald.com/living/health-fitness/article297038189.html")</f>
        <v>https://www.bellinghamherald.com/living/health-fitness/article297038189.html</v>
      </c>
      <c r="C3835" s="2" t="s">
        <v>2439</v>
      </c>
      <c r="D3835" s="3">
        <v>45638.916666666657</v>
      </c>
      <c r="E3835" s="2" t="s">
        <v>1628</v>
      </c>
    </row>
    <row r="3836" spans="1:5" ht="42" x14ac:dyDescent="0.2">
      <c r="A3836" s="2" t="s">
        <v>1627</v>
      </c>
      <c r="B3836" s="2" t="str">
        <f>HYPERLINK("https://www.sanluisobispo.com/living/article297038189.html")</f>
        <v>https://www.sanluisobispo.com/living/article297038189.html</v>
      </c>
      <c r="C3836" s="2" t="s">
        <v>2451</v>
      </c>
      <c r="D3836" s="3">
        <v>45638.916666666657</v>
      </c>
      <c r="E3836" s="2" t="s">
        <v>1628</v>
      </c>
    </row>
    <row r="3837" spans="1:5" ht="42" x14ac:dyDescent="0.2">
      <c r="A3837" s="2" t="s">
        <v>1627</v>
      </c>
      <c r="B3837" s="2" t="str">
        <f>HYPERLINK("https://www.kansas.com/living/health-fitness/article297038189.html")</f>
        <v>https://www.kansas.com/living/health-fitness/article297038189.html</v>
      </c>
      <c r="C3837" s="2" t="s">
        <v>2561</v>
      </c>
      <c r="D3837" s="3">
        <v>45638.916666666657</v>
      </c>
      <c r="E3837" s="2" t="s">
        <v>1628</v>
      </c>
    </row>
    <row r="3838" spans="1:5" ht="42" x14ac:dyDescent="0.2">
      <c r="A3838" s="2" t="s">
        <v>1627</v>
      </c>
      <c r="B3838" s="2" t="str">
        <f>HYPERLINK("https://www.thenewstribune.com/living/health-fitness/article297038189.html")</f>
        <v>https://www.thenewstribune.com/living/health-fitness/article297038189.html</v>
      </c>
      <c r="C3838" s="2" t="s">
        <v>2645</v>
      </c>
      <c r="D3838" s="3">
        <v>45638.916666666657</v>
      </c>
      <c r="E3838" s="2" t="s">
        <v>1628</v>
      </c>
    </row>
    <row r="3839" spans="1:5" ht="42" x14ac:dyDescent="0.2">
      <c r="A3839" s="2" t="s">
        <v>1627</v>
      </c>
      <c r="B3839" s="2" t="str">
        <f>HYPERLINK("https://www.idahostatesman.com/living/health-fitness/article297038189.html")</f>
        <v>https://www.idahostatesman.com/living/health-fitness/article297038189.html</v>
      </c>
      <c r="C3839" s="2" t="s">
        <v>2707</v>
      </c>
      <c r="D3839" s="3">
        <v>45638.916666666657</v>
      </c>
      <c r="E3839" s="2" t="s">
        <v>1628</v>
      </c>
    </row>
    <row r="3840" spans="1:5" ht="42" x14ac:dyDescent="0.2">
      <c r="A3840" s="2" t="s">
        <v>1627</v>
      </c>
      <c r="B3840" s="2" t="str">
        <f>HYPERLINK("https://www.thestate.com/living/health-fitness/article297038189.html")</f>
        <v>https://www.thestate.com/living/health-fitness/article297038189.html</v>
      </c>
      <c r="C3840" s="2" t="s">
        <v>2820</v>
      </c>
      <c r="D3840" s="3">
        <v>45638.916666666657</v>
      </c>
      <c r="E3840" s="2" t="s">
        <v>1628</v>
      </c>
    </row>
    <row r="3841" spans="1:5" ht="42" x14ac:dyDescent="0.2">
      <c r="A3841" s="2" t="s">
        <v>1627</v>
      </c>
      <c r="B3841" s="2" t="str">
        <f>HYPERLINK("https://www.star-telegram.com/entertainment/living/health-fitness/article297038189.html")</f>
        <v>https://www.star-telegram.com/entertainment/living/health-fitness/article297038189.html</v>
      </c>
      <c r="C3841" s="2" t="s">
        <v>2878</v>
      </c>
      <c r="D3841" s="3">
        <v>45638.916666666657</v>
      </c>
      <c r="E3841" s="2" t="s">
        <v>1628</v>
      </c>
    </row>
    <row r="3842" spans="1:5" ht="42" x14ac:dyDescent="0.2">
      <c r="A3842" s="2" t="s">
        <v>1627</v>
      </c>
      <c r="B3842" s="2" t="str">
        <f>HYPERLINK("https://www.miamiherald.com/living/health-fitness/article297038189.html")</f>
        <v>https://www.miamiherald.com/living/health-fitness/article297038189.html</v>
      </c>
      <c r="C3842" s="2" t="s">
        <v>3376</v>
      </c>
      <c r="D3842" s="3">
        <v>45638.916666666657</v>
      </c>
      <c r="E3842" s="2" t="s">
        <v>1628</v>
      </c>
    </row>
    <row r="3843" spans="1:5" ht="70" x14ac:dyDescent="0.2">
      <c r="A3843" s="2" t="s">
        <v>1907</v>
      </c>
      <c r="B3843" s="2" t="str">
        <f>HYPERLINK("https://www.66.ca/portal.php?mod=view&amp;aid=607198")</f>
        <v>https://www.66.ca/portal.php?mod=view&amp;aid=607198</v>
      </c>
      <c r="C3843" s="2" t="s">
        <v>1905</v>
      </c>
      <c r="D3843" s="3">
        <v>45638.920682870368</v>
      </c>
      <c r="E3843" s="2" t="s">
        <v>1908</v>
      </c>
    </row>
    <row r="3844" spans="1:5" ht="42" x14ac:dyDescent="0.2">
      <c r="A3844" s="2" t="s">
        <v>375</v>
      </c>
      <c r="B3844" s="2" t="str">
        <f>HYPERLINK("https://www.newsdirectory3.com/a-lowly-vegetable-rises-to-stardom-in-newly-released-dietary-advisory-report/")</f>
        <v>https://www.newsdirectory3.com/a-lowly-vegetable-rises-to-stardom-in-newly-released-dietary-advisory-report/</v>
      </c>
      <c r="C3844" s="2" t="s">
        <v>1159</v>
      </c>
      <c r="D3844" s="3">
        <v>45638.958032407398</v>
      </c>
      <c r="E3844" s="2" t="s">
        <v>1161</v>
      </c>
    </row>
    <row r="3845" spans="1:5" ht="84" x14ac:dyDescent="0.2">
      <c r="A3845" s="2" t="s">
        <v>300</v>
      </c>
      <c r="B3845" s="2" t="str">
        <f>HYPERLINK("https://www.cocottes-magazine.fr/peut-on-manger-des-oeufs-ou-des-produits-laitiers-en-toute-securite/")</f>
        <v>https://www.cocottes-magazine.fr/peut-on-manger-des-oeufs-ou-des-produits-laitiers-en-toute-securite/</v>
      </c>
      <c r="C3845" s="2" t="s">
        <v>301</v>
      </c>
      <c r="D3845" s="3">
        <v>45638.970532407409</v>
      </c>
      <c r="E3845" s="2" t="s">
        <v>302</v>
      </c>
    </row>
    <row r="3846" spans="1:5" ht="140" x14ac:dyDescent="0.2">
      <c r="A3846" s="2" t="s">
        <v>752</v>
      </c>
      <c r="B3846" s="2" t="str">
        <f>HYPERLINK("https://espanol.news/es-seguro-comer-huevos-pollo-y-productos-lacteos/")</f>
        <v>https://espanol.news/es-seguro-comer-huevos-pollo-y-productos-lacteos/</v>
      </c>
      <c r="C3846" s="2" t="s">
        <v>747</v>
      </c>
      <c r="D3846" s="3">
        <v>45638.976261574076</v>
      </c>
      <c r="E3846" s="2" t="s">
        <v>753</v>
      </c>
    </row>
    <row r="3847" spans="1:5" ht="70" x14ac:dyDescent="0.2">
      <c r="A3847" s="2" t="s">
        <v>375</v>
      </c>
      <c r="B3847" s="2" t="str">
        <f>HYPERLINK("https://www.applevalleynewsnow.com/news/health/a-lowly-vegetable-rises-to-stardom-in-newly-released-dietary-advisory-report/article_892e6610-6cee-5a2a-992a-70e247042401.html")</f>
        <v>https://www.applevalleynewsnow.com/news/health/a-lowly-vegetable-rises-to-stardom-in-newly-released-dietary-advisory-report/article_892e6610-6cee-5a2a-992a-70e247042401.html</v>
      </c>
      <c r="C3847" s="2" t="s">
        <v>1690</v>
      </c>
      <c r="D3847" s="3">
        <v>45639.068113425928</v>
      </c>
      <c r="E3847" s="2" t="s">
        <v>376</v>
      </c>
    </row>
    <row r="3848" spans="1:5" ht="42" x14ac:dyDescent="0.2">
      <c r="A3848" s="2" t="s">
        <v>1627</v>
      </c>
      <c r="B3848" s="2" t="str">
        <f>HYPERLINK("https://www.centredaily.com/living/article297038189.html")</f>
        <v>https://www.centredaily.com/living/article297038189.html</v>
      </c>
      <c r="C3848" s="2" t="s">
        <v>2248</v>
      </c>
      <c r="D3848" s="3">
        <v>45639.131805555553</v>
      </c>
      <c r="E3848" s="2" t="s">
        <v>1628</v>
      </c>
    </row>
    <row r="3849" spans="1:5" ht="42" x14ac:dyDescent="0.2">
      <c r="A3849" s="2" t="s">
        <v>1627</v>
      </c>
      <c r="B3849" s="2" t="str">
        <f>HYPERLINK("https://www.myrtlebeachonline.com/living/article297038189.html")</f>
        <v>https://www.myrtlebeachonline.com/living/article297038189.html</v>
      </c>
      <c r="C3849" s="2" t="s">
        <v>2379</v>
      </c>
      <c r="D3849" s="3">
        <v>45639.136458333327</v>
      </c>
      <c r="E3849" s="2" t="s">
        <v>1628</v>
      </c>
    </row>
    <row r="3850" spans="1:5" ht="42" x14ac:dyDescent="0.2">
      <c r="A3850" s="2" t="s">
        <v>1627</v>
      </c>
      <c r="B3850" s="2" t="str">
        <f>HYPERLINK("https://www.kansascity.com/living/health-fitness/article297038189.html")</f>
        <v>https://www.kansascity.com/living/health-fitness/article297038189.html</v>
      </c>
      <c r="C3850" s="2" t="s">
        <v>3125</v>
      </c>
      <c r="D3850" s="3">
        <v>45639.137662037043</v>
      </c>
      <c r="E3850" s="2" t="s">
        <v>1628</v>
      </c>
    </row>
    <row r="3851" spans="1:5" ht="42" x14ac:dyDescent="0.2">
      <c r="A3851" s="2" t="s">
        <v>1627</v>
      </c>
      <c r="B3851" s="2" t="str">
        <f>HYPERLINK("https://www.islandpacket.com/living/article297038189.html")</f>
        <v>https://www.islandpacket.com/living/article297038189.html</v>
      </c>
      <c r="C3851" s="2" t="s">
        <v>2385</v>
      </c>
      <c r="D3851" s="3">
        <v>45639.138391203713</v>
      </c>
      <c r="E3851" s="2" t="s">
        <v>1628</v>
      </c>
    </row>
    <row r="3852" spans="1:5" ht="42" x14ac:dyDescent="0.2">
      <c r="A3852" s="2" t="s">
        <v>1627</v>
      </c>
      <c r="B3852" s="2" t="str">
        <f>HYPERLINK("https://www.kentucky.com/living/article297038189.html")</f>
        <v>https://www.kentucky.com/living/article297038189.html</v>
      </c>
      <c r="C3852" s="2" t="s">
        <v>2724</v>
      </c>
      <c r="D3852" s="3">
        <v>45639.139120370368</v>
      </c>
      <c r="E3852" s="2" t="s">
        <v>1628</v>
      </c>
    </row>
    <row r="3853" spans="1:5" ht="42" x14ac:dyDescent="0.2">
      <c r="A3853" s="2" t="s">
        <v>1627</v>
      </c>
      <c r="B3853" s="2" t="str">
        <f>HYPERLINK("https://www.fresnobee.com/living/article297038189.html")</f>
        <v>https://www.fresnobee.com/living/article297038189.html</v>
      </c>
      <c r="C3853" s="2" t="s">
        <v>2447</v>
      </c>
      <c r="D3853" s="3">
        <v>45639.139479166668</v>
      </c>
      <c r="E3853" s="2" t="s">
        <v>1628</v>
      </c>
    </row>
    <row r="3854" spans="1:5" ht="42" x14ac:dyDescent="0.2">
      <c r="A3854" s="2" t="s">
        <v>1627</v>
      </c>
      <c r="B3854" s="2" t="str">
        <f>HYPERLINK("https://www.heraldonline.com/living/health-fitness/article297038189.html")</f>
        <v>https://www.heraldonline.com/living/health-fitness/article297038189.html</v>
      </c>
      <c r="C3854" s="2" t="s">
        <v>1996</v>
      </c>
      <c r="D3854" s="3">
        <v>45639.139525462961</v>
      </c>
      <c r="E3854" s="2" t="s">
        <v>1628</v>
      </c>
    </row>
    <row r="3855" spans="1:5" ht="42" x14ac:dyDescent="0.2">
      <c r="A3855" s="2" t="s">
        <v>1627</v>
      </c>
      <c r="B3855" s="2" t="str">
        <f>HYPERLINK("https://www.sunherald.com/living/article297038189.html")</f>
        <v>https://www.sunherald.com/living/article297038189.html</v>
      </c>
      <c r="C3855" s="2" t="s">
        <v>2440</v>
      </c>
      <c r="D3855" s="3">
        <v>45639.139606481483</v>
      </c>
      <c r="E3855" s="2" t="s">
        <v>1628</v>
      </c>
    </row>
    <row r="3856" spans="1:5" ht="42" x14ac:dyDescent="0.2">
      <c r="A3856" s="2" t="s">
        <v>1627</v>
      </c>
      <c r="B3856" s="2" t="str">
        <f>HYPERLINK("https://www.mercedsunstar.com/living/health-fitness/article297038189.html")</f>
        <v>https://www.mercedsunstar.com/living/health-fitness/article297038189.html</v>
      </c>
      <c r="C3856" s="2" t="s">
        <v>2396</v>
      </c>
      <c r="D3856" s="3">
        <v>45639.139849537038</v>
      </c>
      <c r="E3856" s="2" t="s">
        <v>1628</v>
      </c>
    </row>
    <row r="3857" spans="1:5" ht="42" x14ac:dyDescent="0.2">
      <c r="A3857" s="2" t="s">
        <v>1627</v>
      </c>
      <c r="B3857" s="2" t="str">
        <f>HYPERLINK("https://www.macon.com/living/article297038189.html")</f>
        <v>https://www.macon.com/living/article297038189.html</v>
      </c>
      <c r="C3857" s="2" t="s">
        <v>2289</v>
      </c>
      <c r="D3857" s="3">
        <v>45639.139907407407</v>
      </c>
      <c r="E3857" s="2" t="s">
        <v>1628</v>
      </c>
    </row>
    <row r="3858" spans="1:5" ht="42" x14ac:dyDescent="0.2">
      <c r="A3858" s="2" t="s">
        <v>1627</v>
      </c>
      <c r="B3858" s="2" t="str">
        <f>HYPERLINK("https://www.bnd.com/living/article297038189.html")</f>
        <v>https://www.bnd.com/living/article297038189.html</v>
      </c>
      <c r="C3858" s="2" t="s">
        <v>2406</v>
      </c>
      <c r="D3858" s="3">
        <v>45639.140300925923</v>
      </c>
      <c r="E3858" s="2" t="s">
        <v>1628</v>
      </c>
    </row>
    <row r="3859" spans="1:5" ht="42" x14ac:dyDescent="0.2">
      <c r="A3859" s="2" t="s">
        <v>1627</v>
      </c>
      <c r="B3859" s="2" t="str">
        <f>HYPERLINK("https://www.ledger-enquirer.com/living/article297038189.html")</f>
        <v>https://www.ledger-enquirer.com/living/article297038189.html</v>
      </c>
      <c r="C3859" s="2" t="s">
        <v>2153</v>
      </c>
      <c r="D3859" s="3">
        <v>45639.140740740739</v>
      </c>
      <c r="E3859" s="2" t="s">
        <v>1628</v>
      </c>
    </row>
    <row r="3860" spans="1:5" ht="42" x14ac:dyDescent="0.2">
      <c r="A3860" s="2" t="s">
        <v>1627</v>
      </c>
      <c r="B3860" s="2" t="str">
        <f>HYPERLINK("https://www.charlotteobserver.com/living/article297038189.html")</f>
        <v>https://www.charlotteobserver.com/living/article297038189.html</v>
      </c>
      <c r="C3860" s="2" t="s">
        <v>2993</v>
      </c>
      <c r="D3860" s="3">
        <v>45639.141076388893</v>
      </c>
      <c r="E3860" s="2" t="s">
        <v>1628</v>
      </c>
    </row>
    <row r="3861" spans="1:5" ht="42" x14ac:dyDescent="0.2">
      <c r="A3861" s="2" t="s">
        <v>1627</v>
      </c>
      <c r="B3861" s="2" t="str">
        <f>HYPERLINK("https://www.newsobserver.com/living/health-fitness/article297038189.html")</f>
        <v>https://www.newsobserver.com/living/health-fitness/article297038189.html</v>
      </c>
      <c r="C3861" s="2" t="s">
        <v>3049</v>
      </c>
      <c r="D3861" s="3">
        <v>45639.146724537037</v>
      </c>
      <c r="E3861" s="2" t="s">
        <v>1628</v>
      </c>
    </row>
    <row r="3862" spans="1:5" ht="70" x14ac:dyDescent="0.2">
      <c r="A3862" s="2" t="s">
        <v>375</v>
      </c>
      <c r="B3862" s="2" t="str">
        <f>HYPERLINK("https://news.lee.net/partners/cnn/a-lowly-vegetable-rises-to-stardom-in-newly-released-dietary-advisory-report/article_e54c781e-e9c1-5a86-9e88-18ee417d2666.html")</f>
        <v>https://news.lee.net/partners/cnn/a-lowly-vegetable-rises-to-stardom-in-newly-released-dietary-advisory-report/article_e54c781e-e9c1-5a86-9e88-18ee417d2666.html</v>
      </c>
      <c r="C3862" s="2" t="s">
        <v>1651</v>
      </c>
      <c r="D3862" s="3">
        <v>45639.243379629632</v>
      </c>
      <c r="E3862" s="2" t="s">
        <v>376</v>
      </c>
    </row>
    <row r="3863" spans="1:5" ht="84" x14ac:dyDescent="0.2">
      <c r="A3863" s="2" t="s">
        <v>1345</v>
      </c>
      <c r="B3863" s="2" t="str">
        <f>HYPERLINK("https://www.nouvelles-du-monde.com/les-haricots-et-les-lentilles-deviennent-des-vedettes-dans-un-rapport-davis-dietetique-recemment-publie/")</f>
        <v>https://www.nouvelles-du-monde.com/les-haricots-et-les-lentilles-deviennent-des-vedettes-dans-un-rapport-davis-dietetique-recemment-publie/</v>
      </c>
      <c r="C3863" s="2" t="s">
        <v>1346</v>
      </c>
      <c r="D3863" s="3">
        <v>45639.285844907397</v>
      </c>
      <c r="E3863" s="2" t="s">
        <v>1347</v>
      </c>
    </row>
    <row r="3864" spans="1:5" ht="42" x14ac:dyDescent="0.2">
      <c r="A3864" s="2" t="s">
        <v>292</v>
      </c>
      <c r="B3864" s="2" t="str">
        <f>HYPERLINK("https://www.northsidesun.com/more-beans-and-less-red-meat-nutrition-experts-weigh-us-dietary-guidelines")</f>
        <v>https://www.northsidesun.com/more-beans-and-less-red-meat-nutrition-experts-weigh-us-dietary-guidelines</v>
      </c>
      <c r="C3864" s="2" t="s">
        <v>968</v>
      </c>
      <c r="D3864" s="3">
        <v>45639.337511574071</v>
      </c>
      <c r="E3864" s="2" t="s">
        <v>38</v>
      </c>
    </row>
    <row r="3865" spans="1:5" ht="98" x14ac:dyDescent="0.2">
      <c r="A3865" s="2" t="s">
        <v>3089</v>
      </c>
      <c r="B3865" s="2" t="str">
        <f>HYPERLINK("https://cnnportugal.iol.pt/dieta-alimentar/feijao/este-legume-insignificante-chega-agora-ao-estrelato-num-estudo-de-aconselhamento-dietetico/20241213/675c1d95d34e94b829089bb2")</f>
        <v>https://cnnportugal.iol.pt/dieta-alimentar/feijao/este-legume-insignificante-chega-agora-ao-estrelato-num-estudo-de-aconselhamento-dietetico/20241213/675c1d95d34e94b829089bb2</v>
      </c>
      <c r="C3865" s="2" t="s">
        <v>3087</v>
      </c>
      <c r="D3865" s="3">
        <v>45639.401608796303</v>
      </c>
      <c r="E3865" s="2" t="s">
        <v>3090</v>
      </c>
    </row>
    <row r="3866" spans="1:5" ht="56" x14ac:dyDescent="0.2">
      <c r="A3866" s="2" t="s">
        <v>3886</v>
      </c>
      <c r="B3866" s="2" t="str">
        <f>HYPERLINK("https://de.dayfr.com/heute/2274763.html")</f>
        <v>https://de.dayfr.com/heute/2274763.html</v>
      </c>
      <c r="C3866" s="2" t="s">
        <v>3887</v>
      </c>
      <c r="D3866" s="3">
        <v>45639.527337962973</v>
      </c>
      <c r="E3866" s="2" t="s">
        <v>3888</v>
      </c>
    </row>
    <row r="3867" spans="1:5" ht="70" x14ac:dyDescent="0.2">
      <c r="A3867" s="2" t="s">
        <v>375</v>
      </c>
      <c r="B3867" s="2" t="str">
        <f>HYPERLINK("https://www.waaytv.com/a-lowly-vegetable-rises-to-stardom-in-newly-released-dietary-advisory-report/article_241ca369-2be9-5007-9903-e243c6a3c177.html")</f>
        <v>https://www.waaytv.com/a-lowly-vegetable-rises-to-stardom-in-newly-released-dietary-advisory-report/article_241ca369-2be9-5007-9903-e243c6a3c177.html</v>
      </c>
      <c r="C3867" s="2" t="s">
        <v>2278</v>
      </c>
      <c r="D3867" s="3">
        <v>45639.581284722219</v>
      </c>
      <c r="E3867" s="2" t="s">
        <v>376</v>
      </c>
    </row>
    <row r="3868" spans="1:5" ht="70" x14ac:dyDescent="0.2">
      <c r="A3868" s="2" t="s">
        <v>375</v>
      </c>
      <c r="B3868" s="2" t="str">
        <f>HYPERLINK("https://www.local3news.com/regional-national/a-lowly-vegetable-rises-to-stardom-in-newly-released-dietary-advisory-report/article_266fc9e4-c209-5340-83a9-a783a46503e3.html")</f>
        <v>https://www.local3news.com/regional-national/a-lowly-vegetable-rises-to-stardom-in-newly-released-dietary-advisory-report/article_266fc9e4-c209-5340-83a9-a783a46503e3.html</v>
      </c>
      <c r="C3868" s="2" t="s">
        <v>2582</v>
      </c>
      <c r="D3868" s="3">
        <v>45639.760416666657</v>
      </c>
      <c r="E3868" s="2" t="s">
        <v>376</v>
      </c>
    </row>
    <row r="3869" spans="1:5" ht="42" x14ac:dyDescent="0.2">
      <c r="A3869" s="2" t="s">
        <v>326</v>
      </c>
      <c r="B3869" s="2" t="str">
        <f>HYPERLINK("https://bnsglobalnews.com/2024/12/14/nutrition-experts-weigh-in-on-us-dietary-guidelines/")</f>
        <v>https://bnsglobalnews.com/2024/12/14/nutrition-experts-weigh-in-on-us-dietary-guidelines/</v>
      </c>
      <c r="C3869" s="2" t="s">
        <v>327</v>
      </c>
      <c r="D3869" s="3">
        <v>45639.791666666657</v>
      </c>
      <c r="E3869" s="2" t="s">
        <v>328</v>
      </c>
    </row>
    <row r="3870" spans="1:5" ht="42" x14ac:dyDescent="0.2">
      <c r="A3870" s="2" t="s">
        <v>375</v>
      </c>
      <c r="B3870" s="2" t="str">
        <f>HYPERLINK("https://newszetu.com/a-lowly-vegetable-rises-to-stardom-in-newly-released-dietary-advisory-report/")</f>
        <v>https://newszetu.com/a-lowly-vegetable-rises-to-stardom-in-newly-released-dietary-advisory-report/</v>
      </c>
      <c r="C3870" s="2" t="s">
        <v>373</v>
      </c>
      <c r="D3870" s="3">
        <v>45639.791666666657</v>
      </c>
      <c r="E3870" s="2" t="s">
        <v>376</v>
      </c>
    </row>
    <row r="3871" spans="1:5" ht="42" x14ac:dyDescent="0.2">
      <c r="A3871" s="2" t="s">
        <v>326</v>
      </c>
      <c r="B3871" s="2" t="str">
        <f>HYPERLINK("https://www.voanews.com/a/nutrition-experts-weigh-in-on-us-dietary-guidelines/7898473.html")</f>
        <v>https://www.voanews.com/a/nutrition-experts-weigh-in-on-us-dietary-guidelines/7898473.html</v>
      </c>
      <c r="C3871" s="2" t="s">
        <v>3210</v>
      </c>
      <c r="D3871" s="3">
        <v>45639.905081018522</v>
      </c>
      <c r="E3871" s="2" t="s">
        <v>328</v>
      </c>
    </row>
    <row r="3872" spans="1:5" ht="70" x14ac:dyDescent="0.2">
      <c r="A3872" s="2" t="s">
        <v>375</v>
      </c>
      <c r="B3872" s="2" t="str">
        <f>HYPERLINK("https://www.kdrv.com/news/healthwatch/a-lowly-vegetable-rises-to-stardom-in-newly-released-dietary-advisory-report/article_8bc8886f-4b2d-5103-8c7b-b5cf14ca24f0.html")</f>
        <v>https://www.kdrv.com/news/healthwatch/a-lowly-vegetable-rises-to-stardom-in-newly-released-dietary-advisory-report/article_8bc8886f-4b2d-5103-8c7b-b5cf14ca24f0.html</v>
      </c>
      <c r="C3872" s="2" t="s">
        <v>2152</v>
      </c>
      <c r="D3872" s="3">
        <v>45639.948553240742</v>
      </c>
      <c r="E3872" s="2" t="s">
        <v>376</v>
      </c>
    </row>
    <row r="3873" spans="1:5" ht="56" x14ac:dyDescent="0.2">
      <c r="A3873" s="2" t="s">
        <v>1847</v>
      </c>
      <c r="B3873" s="2" t="str">
        <f>HYPERLINK("https://www.wusf.org/health-news-florida/2024-12-14/beans-red-meat-nutrition-experts-weigh-dietary-guidelines")</f>
        <v>https://www.wusf.org/health-news-florida/2024-12-14/beans-red-meat-nutrition-experts-weigh-dietary-guidelines</v>
      </c>
      <c r="C3873" s="2" t="s">
        <v>2382</v>
      </c>
      <c r="D3873" s="3">
        <v>45639.958333333343</v>
      </c>
      <c r="E3873" s="2" t="s">
        <v>38</v>
      </c>
    </row>
    <row r="3874" spans="1:5" ht="42" x14ac:dyDescent="0.2">
      <c r="A3874" s="2" t="s">
        <v>122</v>
      </c>
      <c r="B3874" s="2" t="str">
        <f>HYPERLINK("http://whmp.com/news/030030-more-beans-and-less-red-meat-nutritionists-weigh-in-on-us-dietary-guidelines/")</f>
        <v>http://whmp.com/news/030030-more-beans-and-less-red-meat-nutritionists-weigh-in-on-us-dietary-guidelines/</v>
      </c>
      <c r="C3874" s="2" t="s">
        <v>856</v>
      </c>
      <c r="D3874" s="3">
        <v>45640.109085648153</v>
      </c>
      <c r="E3874" s="2" t="s">
        <v>38</v>
      </c>
    </row>
    <row r="3875" spans="1:5" ht="42" x14ac:dyDescent="0.2">
      <c r="A3875" s="2" t="s">
        <v>326</v>
      </c>
      <c r="B3875" s="2" t="str">
        <f>HYPERLINK("https://pioneernewz.com/nutrition-experts-weigh-in-on-us-dietary-guidelines/")</f>
        <v>https://pioneernewz.com/nutrition-experts-weigh-in-on-us-dietary-guidelines/</v>
      </c>
      <c r="C3875" s="2" t="s">
        <v>576</v>
      </c>
      <c r="D3875" s="3">
        <v>45640.12462962963</v>
      </c>
      <c r="E3875" s="2" t="s">
        <v>328</v>
      </c>
    </row>
    <row r="3876" spans="1:5" ht="56" x14ac:dyDescent="0.2">
      <c r="A3876" s="2" t="s">
        <v>292</v>
      </c>
      <c r="B3876" s="2" t="str">
        <f>HYPERLINK("http://vifreepress.com/2024/12/more-beans-and-less-red-meat-nutrition-experts-weigh-in-on-us-dietary-guidelines/")</f>
        <v>http://vifreepress.com/2024/12/more-beans-and-less-red-meat-nutrition-experts-weigh-in-on-us-dietary-guidelines/</v>
      </c>
      <c r="C3876" s="2" t="s">
        <v>3958</v>
      </c>
      <c r="D3876" s="3">
        <v>45640.257245370369</v>
      </c>
      <c r="E3876" s="2" t="s">
        <v>38</v>
      </c>
    </row>
    <row r="3877" spans="1:5" ht="56" x14ac:dyDescent="0.2">
      <c r="A3877" s="2" t="s">
        <v>122</v>
      </c>
      <c r="B3877" s="2" t="str">
        <f>HYPERLINK("http://espnharrisonburg.com/news/030030-more-beans-and-less-red-meat-nutritionists-weigh-in-on-us-dietary-guidelines/")</f>
        <v>http://espnharrisonburg.com/news/030030-more-beans-and-less-red-meat-nutritionists-weigh-in-on-us-dietary-guidelines/</v>
      </c>
      <c r="C3877" s="2" t="s">
        <v>444</v>
      </c>
      <c r="D3877" s="3">
        <v>45640.261550925927</v>
      </c>
      <c r="E3877" s="2" t="s">
        <v>38</v>
      </c>
    </row>
    <row r="3878" spans="1:5" ht="98" x14ac:dyDescent="0.2">
      <c r="A3878" s="2" t="s">
        <v>3089</v>
      </c>
      <c r="B3878" s="2" t="str">
        <f>HYPERLINK("https://cnnportugal.iol.pt/dieta-alimentar/feijao/este-legume-insignificante-chega-agora-ao-estrelato-num-estudo-de-aconselhamento-dietetico/20241214/675c1d95d34e94b829089bb2")</f>
        <v>https://cnnportugal.iol.pt/dieta-alimentar/feijao/este-legume-insignificante-chega-agora-ao-estrelato-num-estudo-de-aconselhamento-dietetico/20241214/675c1d95d34e94b829089bb2</v>
      </c>
      <c r="C3878" s="2" t="s">
        <v>3087</v>
      </c>
      <c r="D3878" s="3">
        <v>45640.295289351852</v>
      </c>
      <c r="E3878" s="2" t="s">
        <v>3090</v>
      </c>
    </row>
    <row r="3879" spans="1:5" ht="56" x14ac:dyDescent="0.2">
      <c r="A3879" s="2" t="s">
        <v>1509</v>
      </c>
      <c r="B3879" s="2" t="str">
        <f>HYPERLINK("https://americanmilitarynews.com/2024/12/dietary-guidelines-committee-punts-on-ultra-processed-food-a-win-for-general-mills/")</f>
        <v>https://americanmilitarynews.com/2024/12/dietary-guidelines-committee-punts-on-ultra-processed-food-a-win-for-general-mills/</v>
      </c>
      <c r="C3879" s="2" t="s">
        <v>2455</v>
      </c>
      <c r="D3879" s="3">
        <v>45640.393240740741</v>
      </c>
      <c r="E3879" s="2" t="s">
        <v>1510</v>
      </c>
    </row>
    <row r="3880" spans="1:5" ht="42" x14ac:dyDescent="0.2">
      <c r="A3880" s="2" t="s">
        <v>122</v>
      </c>
      <c r="B3880" s="2" t="str">
        <f>HYPERLINK("http://wrsi.com/news/030030-more-beans-and-less-red-meat-nutritionists-weigh-in-on-us-dietary-guidelines/")</f>
        <v>http://wrsi.com/news/030030-more-beans-and-less-red-meat-nutritionists-weigh-in-on-us-dietary-guidelines/</v>
      </c>
      <c r="C3880" s="2" t="s">
        <v>946</v>
      </c>
      <c r="D3880" s="3">
        <v>45640.402928240743</v>
      </c>
      <c r="E3880" s="2" t="s">
        <v>38</v>
      </c>
    </row>
    <row r="3881" spans="1:5" ht="56" x14ac:dyDescent="0.2">
      <c r="A3881" s="2" t="s">
        <v>1735</v>
      </c>
      <c r="B3881" s="2" t="str">
        <f>HYPERLINK("https://japantoday.com/category/features/food/more-beans-and-less-red-meat-nutritionists-weigh-in-on-us-dietary-guidelines")</f>
        <v>https://japantoday.com/category/features/food/more-beans-and-less-red-meat-nutritionists-weigh-in-on-us-dietary-guidelines</v>
      </c>
      <c r="C3881" s="2" t="s">
        <v>2784</v>
      </c>
      <c r="D3881" s="3">
        <v>45640.465277777781</v>
      </c>
      <c r="E3881" s="2" t="s">
        <v>38</v>
      </c>
    </row>
    <row r="3882" spans="1:5" ht="70" x14ac:dyDescent="0.2">
      <c r="A3882" s="2" t="s">
        <v>292</v>
      </c>
      <c r="B3882" s="2" t="str">
        <f>HYPERLINK("https://www.postregister.com/features/smart_living/more-beans-and-less-red-meat-nutrition-experts-weigh-in-on-us-dietary-guidelines/article_92d5d452-b8f8-11ef-a151-ebcd73f8e25c.html")</f>
        <v>https://www.postregister.com/features/smart_living/more-beans-and-less-red-meat-nutrition-experts-weigh-in-on-us-dietary-guidelines/article_92d5d452-b8f8-11ef-a151-ebcd73f8e25c.html</v>
      </c>
      <c r="C3882" s="2" t="s">
        <v>1687</v>
      </c>
      <c r="D3882" s="3">
        <v>45640.634039351848</v>
      </c>
      <c r="E3882" s="2" t="s">
        <v>38</v>
      </c>
    </row>
    <row r="3883" spans="1:5" ht="56" x14ac:dyDescent="0.2">
      <c r="A3883" s="2" t="s">
        <v>122</v>
      </c>
      <c r="B3883" s="2" t="str">
        <f>HYPERLINK("http://espndesmoines.com/news/030030-more-beans-and-less-red-meat-nutritionists-weigh-in-on-us-dietary-guidelines/")</f>
        <v>http://espndesmoines.com/news/030030-more-beans-and-less-red-meat-nutritionists-weigh-in-on-us-dietary-guidelines/</v>
      </c>
      <c r="C3883" s="2" t="s">
        <v>512</v>
      </c>
      <c r="D3883" s="3">
        <v>45640.762696759259</v>
      </c>
      <c r="E3883" s="2" t="s">
        <v>38</v>
      </c>
    </row>
    <row r="3884" spans="1:5" ht="70" x14ac:dyDescent="0.2">
      <c r="A3884" s="2" t="s">
        <v>1329</v>
      </c>
      <c r="B3884" s="2" t="str">
        <f>HYPERLINK("https://www.world-today-news.com/us-dietary-guidelines-nutrition-experts-offer-insights/")</f>
        <v>https://www.world-today-news.com/us-dietary-guidelines-nutrition-experts-offer-insights/</v>
      </c>
      <c r="C3884" s="2" t="s">
        <v>1325</v>
      </c>
      <c r="D3884" s="3">
        <v>45640.783043981479</v>
      </c>
      <c r="E3884" s="2" t="s">
        <v>1330</v>
      </c>
    </row>
    <row r="3885" spans="1:5" ht="42" x14ac:dyDescent="0.2">
      <c r="A3885" s="2" t="s">
        <v>122</v>
      </c>
      <c r="B3885" s="2" t="str">
        <f>HYPERLINK("http://wixy.com/news/030030-more-beans-and-less-red-meat-nutritionists-weigh-in-on-us-dietary-guidelines/")</f>
        <v>http://wixy.com/news/030030-more-beans-and-less-red-meat-nutritionists-weigh-in-on-us-dietary-guidelines/</v>
      </c>
      <c r="C3885" s="2" t="s">
        <v>651</v>
      </c>
      <c r="D3885" s="3">
        <v>45640.917037037027</v>
      </c>
      <c r="E3885" s="2" t="s">
        <v>38</v>
      </c>
    </row>
    <row r="3886" spans="1:5" ht="56" x14ac:dyDescent="0.2">
      <c r="A3886" s="2" t="s">
        <v>1688</v>
      </c>
      <c r="B3886" s="2" t="str">
        <f>HYPERLINK("https://www.ncnewsonline.com/news/national/ap-news-in-brief-at-11-04-p-m-est/article_1aaf2831-00fc-5382-9c76-66cbb4cf1ea1.html")</f>
        <v>https://www.ncnewsonline.com/news/national/ap-news-in-brief-at-11-04-p-m-est/article_1aaf2831-00fc-5382-9c76-66cbb4cf1ea1.html</v>
      </c>
      <c r="C3886" s="2" t="s">
        <v>1901</v>
      </c>
      <c r="D3886" s="3">
        <v>45640.917326388888</v>
      </c>
      <c r="E3886" s="2" t="s">
        <v>38</v>
      </c>
    </row>
    <row r="3887" spans="1:5" ht="98" x14ac:dyDescent="0.2">
      <c r="A3887" s="2" t="s">
        <v>2685</v>
      </c>
      <c r="B3887" s="2" t="str">
        <f>HYPERLINK("https://principia-scientific.com/consumer-groups-demand-fda-ban-cancer-causing-red-dye-no-3/")</f>
        <v>https://principia-scientific.com/consumer-groups-demand-fda-ban-cancer-causing-red-dye-no-3/</v>
      </c>
      <c r="C3887" s="2" t="s">
        <v>3966</v>
      </c>
      <c r="D3887" s="3">
        <v>45640.999293981477</v>
      </c>
      <c r="E3887" s="2" t="s">
        <v>2686</v>
      </c>
    </row>
    <row r="3888" spans="1:5" ht="56" x14ac:dyDescent="0.2">
      <c r="A3888" s="2" t="s">
        <v>3836</v>
      </c>
      <c r="B3888" s="2" t="str">
        <f>HYPERLINK("https://fusilatnews.com/lebih-banyak-kacang-dan-kurangi-daging-merah-ahli-gizi-berikan-masukan-untuk-pedoman-diet-as/")</f>
        <v>https://fusilatnews.com/lebih-banyak-kacang-dan-kurangi-daging-merah-ahli-gizi-berikan-masukan-untuk-pedoman-diet-as/</v>
      </c>
      <c r="C3888" s="2" t="s">
        <v>3837</v>
      </c>
      <c r="D3888" s="3">
        <v>45641.155775462961</v>
      </c>
      <c r="E3888" s="2" t="s">
        <v>3838</v>
      </c>
    </row>
    <row r="3889" spans="1:5" ht="42" x14ac:dyDescent="0.2">
      <c r="A3889" s="2" t="s">
        <v>326</v>
      </c>
      <c r="B3889" s="2" t="str">
        <f>HYPERLINK("https://www.newsgram.com/america/2024/12/15/nutrition-experts-weigh-in-on-us-dietary-guidelines")</f>
        <v>https://www.newsgram.com/america/2024/12/15/nutrition-experts-weigh-in-on-us-dietary-guidelines</v>
      </c>
      <c r="C3889" s="2" t="s">
        <v>1363</v>
      </c>
      <c r="D3889" s="3">
        <v>45641.190428240741</v>
      </c>
      <c r="E3889" s="2" t="s">
        <v>328</v>
      </c>
    </row>
    <row r="3890" spans="1:5" ht="42" x14ac:dyDescent="0.2">
      <c r="A3890" s="2" t="s">
        <v>1838</v>
      </c>
      <c r="B3890" s="2" t="str">
        <f>HYPERLINK("https://news.dayfr.com/health/4081182.html")</f>
        <v>https://news.dayfr.com/health/4081182.html</v>
      </c>
      <c r="C3890" s="2" t="s">
        <v>1836</v>
      </c>
      <c r="D3890" s="3">
        <v>45641.258425925917</v>
      </c>
      <c r="E3890" s="2" t="s">
        <v>1839</v>
      </c>
    </row>
    <row r="3891" spans="1:5" ht="56" x14ac:dyDescent="0.2">
      <c r="A3891" s="2" t="s">
        <v>3278</v>
      </c>
      <c r="B3891" s="2" t="str">
        <f>HYPERLINK("https://www.lapresse.ca/actualites/sciences/2024-12-15/demystifier-la-science/les-effets-des-aliments-ultratransformes.php")</f>
        <v>https://www.lapresse.ca/actualites/sciences/2024-12-15/demystifier-la-science/les-effets-des-aliments-ultratransformes.php</v>
      </c>
      <c r="C3891" s="2" t="s">
        <v>3279</v>
      </c>
      <c r="D3891" s="3">
        <v>45641.259317129632</v>
      </c>
      <c r="E3891" s="2" t="s">
        <v>3280</v>
      </c>
    </row>
    <row r="3892" spans="1:5" ht="42" x14ac:dyDescent="0.2">
      <c r="A3892" s="2" t="s">
        <v>1327</v>
      </c>
      <c r="B3892" s="2" t="str">
        <f>HYPERLINK("https://www.world-today-news.com/ultra-processed-foods-the-science-explained/")</f>
        <v>https://www.world-today-news.com/ultra-processed-foods-the-science-explained/</v>
      </c>
      <c r="C3892" s="2" t="s">
        <v>1325</v>
      </c>
      <c r="D3892" s="3">
        <v>45641.263171296298</v>
      </c>
      <c r="E3892" s="2" t="s">
        <v>1328</v>
      </c>
    </row>
    <row r="3893" spans="1:5" ht="56" x14ac:dyDescent="0.2">
      <c r="A3893" s="2" t="s">
        <v>122</v>
      </c>
      <c r="B3893" s="2" t="str">
        <f>HYPERLINK("http://1041ezfm.com/news/030030-more-beans-and-less-red-meat-nutritionists-weigh-in-on-us-dietary-guidelines/")</f>
        <v>http://1041ezfm.com/news/030030-more-beans-and-less-red-meat-nutritionists-weigh-in-on-us-dietary-guidelines/</v>
      </c>
      <c r="C3893" s="2" t="s">
        <v>1052</v>
      </c>
      <c r="D3893" s="3">
        <v>45641.546585648153</v>
      </c>
      <c r="E3893" s="2" t="s">
        <v>38</v>
      </c>
    </row>
    <row r="3894" spans="1:5" ht="56" x14ac:dyDescent="0.2">
      <c r="A3894" s="2" t="s">
        <v>122</v>
      </c>
      <c r="B3894" s="2" t="str">
        <f>HYPERLINK("http://coast931.com/news/030030-more-beans-and-less-red-meat-nutritionists-weigh-in-on-us-dietary-guidelines/")</f>
        <v>http://coast931.com/news/030030-more-beans-and-less-red-meat-nutritionists-weigh-in-on-us-dietary-guidelines/</v>
      </c>
      <c r="C3894" s="2" t="s">
        <v>894</v>
      </c>
      <c r="D3894" s="3">
        <v>45641.633252314823</v>
      </c>
      <c r="E3894" s="2" t="s">
        <v>38</v>
      </c>
    </row>
    <row r="3895" spans="1:5" ht="56" x14ac:dyDescent="0.2">
      <c r="A3895" s="2" t="s">
        <v>1163</v>
      </c>
      <c r="B3895" s="2" t="str">
        <f>HYPERLINK("https://www.newsdirectory3.com/nutrition-experts-weigh-in-on-us-dietary-guidelines/")</f>
        <v>https://www.newsdirectory3.com/nutrition-experts-weigh-in-on-us-dietary-guidelines/</v>
      </c>
      <c r="C3895" s="2" t="s">
        <v>1159</v>
      </c>
      <c r="D3895" s="3">
        <v>45641.751435185193</v>
      </c>
      <c r="E3895" s="2" t="s">
        <v>1164</v>
      </c>
    </row>
    <row r="3896" spans="1:5" ht="196" x14ac:dyDescent="0.2">
      <c r="A3896" s="2" t="s">
        <v>1914</v>
      </c>
      <c r="B3896" s="2" t="str">
        <f>HYPERLINK("https://www.epochtimes.jp/2024/12/269854.html")</f>
        <v>https://www.epochtimes.jp/2024/12/269854.html</v>
      </c>
      <c r="C3896" s="2" t="s">
        <v>1915</v>
      </c>
      <c r="D3896" s="3">
        <v>45641.791666666657</v>
      </c>
      <c r="E3896" s="2" t="s">
        <v>1916</v>
      </c>
    </row>
    <row r="3897" spans="1:5" ht="42" x14ac:dyDescent="0.2">
      <c r="A3897" s="2" t="s">
        <v>122</v>
      </c>
      <c r="B3897" s="2" t="str">
        <f>HYPERLINK("http://wzid.com/news/030030-more-beans-and-less-red-meat-nutritionists-weigh-in-on-us-dietary-guidelines/")</f>
        <v>http://wzid.com/news/030030-more-beans-and-less-red-meat-nutritionists-weigh-in-on-us-dietary-guidelines/</v>
      </c>
      <c r="C3897" s="2" t="s">
        <v>955</v>
      </c>
      <c r="D3897" s="3">
        <v>45641.906400462962</v>
      </c>
      <c r="E3897" s="2" t="s">
        <v>38</v>
      </c>
    </row>
    <row r="3898" spans="1:5" ht="42" x14ac:dyDescent="0.2">
      <c r="A3898" s="2" t="s">
        <v>292</v>
      </c>
      <c r="B3898" s="2" t="str">
        <f>HYPERLINK("https://www.telegraphherald.com/news/features/article_6376c69e-a2be-5efb-b9df-3d85a1629616.html")</f>
        <v>https://www.telegraphherald.com/news/features/article_6376c69e-a2be-5efb-b9df-3d85a1629616.html</v>
      </c>
      <c r="C3898" s="2" t="s">
        <v>2141</v>
      </c>
      <c r="D3898" s="3">
        <v>45642.072187500002</v>
      </c>
      <c r="E3898" s="2" t="s">
        <v>38</v>
      </c>
    </row>
    <row r="3899" spans="1:5" ht="42" x14ac:dyDescent="0.2">
      <c r="A3899" s="2" t="s">
        <v>1769</v>
      </c>
      <c r="B3899" s="2" t="str">
        <f>HYPERLINK("https://m.farms.com/news/more-beans-less-red-meat-nutrition-experts-weigh-in-on-dietary-guidelines-221140.aspx")</f>
        <v>https://m.farms.com/news/more-beans-less-red-meat-nutrition-experts-weigh-in-on-dietary-guidelines-221140.aspx</v>
      </c>
      <c r="C3899" s="2" t="s">
        <v>1770</v>
      </c>
      <c r="D3899" s="3">
        <v>45642.13616898148</v>
      </c>
      <c r="E3899" s="2" t="s">
        <v>38</v>
      </c>
    </row>
    <row r="3900" spans="1:5" ht="42" x14ac:dyDescent="0.2">
      <c r="A3900" s="2" t="s">
        <v>122</v>
      </c>
      <c r="B3900" s="2" t="str">
        <f>HYPERLINK("http://kool98.com/news/030030-more-beans-and-less-red-meat-nutritionists-weigh-in-on-us-dietary-guidelines/")</f>
        <v>http://kool98.com/news/030030-more-beans-and-less-red-meat-nutritionists-weigh-in-on-us-dietary-guidelines/</v>
      </c>
      <c r="C3900" s="2" t="s">
        <v>690</v>
      </c>
      <c r="D3900" s="3">
        <v>45642.215011574073</v>
      </c>
      <c r="E3900" s="2" t="s">
        <v>38</v>
      </c>
    </row>
    <row r="3901" spans="1:5" ht="56" x14ac:dyDescent="0.2">
      <c r="A3901" s="2" t="s">
        <v>292</v>
      </c>
      <c r="B3901" s="2" t="str">
        <f>HYPERLINK("https://www.breezecourier.com/2024/12/16/more-beans-and-less-red-meat-nutrition-experts-weigh-in-on-us-dietary-guidelines/")</f>
        <v>https://www.breezecourier.com/2024/12/16/more-beans-and-less-red-meat-nutrition-experts-weigh-in-on-us-dietary-guidelines/</v>
      </c>
      <c r="C3901" s="2" t="s">
        <v>989</v>
      </c>
      <c r="D3901" s="3">
        <v>45642.366018518522</v>
      </c>
      <c r="E3901" s="2" t="s">
        <v>38</v>
      </c>
    </row>
    <row r="3902" spans="1:5" ht="56" x14ac:dyDescent="0.2">
      <c r="A3902" s="2" t="s">
        <v>2683</v>
      </c>
      <c r="B3902" s="2" t="str">
        <f>HYPERLINK("https://childrenshealthdefense.org/defender/2025-dietary-guidelines-recommendations-harm-health/")</f>
        <v>https://childrenshealthdefense.org/defender/2025-dietary-guidelines-recommendations-harm-health/</v>
      </c>
      <c r="C3902" s="2" t="s">
        <v>2505</v>
      </c>
      <c r="D3902" s="3">
        <v>45642.421006944453</v>
      </c>
      <c r="E3902" s="2" t="s">
        <v>2684</v>
      </c>
    </row>
    <row r="3903" spans="1:5" ht="42" x14ac:dyDescent="0.2">
      <c r="A3903" s="2" t="s">
        <v>292</v>
      </c>
      <c r="B3903" s="2" t="str">
        <f>HYPERLINK("https://caro.news/more-beans-and-less-red-meat-nutrition-experts-weigh-in-on-us-dietary-guidelines/")</f>
        <v>https://caro.news/more-beans-and-less-red-meat-nutrition-experts-weigh-in-on-us-dietary-guidelines/</v>
      </c>
      <c r="C3903" s="2" t="s">
        <v>774</v>
      </c>
      <c r="D3903" s="3">
        <v>45642.57</v>
      </c>
      <c r="E3903" s="2" t="s">
        <v>38</v>
      </c>
    </row>
    <row r="3904" spans="1:5" ht="70" x14ac:dyDescent="0.2">
      <c r="A3904" s="2" t="s">
        <v>292</v>
      </c>
      <c r="B3904" s="2" t="str">
        <f>HYPERLINK("https://www.thenassauguardian.com/ap/lifestyles/more-beans-and-less-red-meat-nutrition-experts-weigh-in-on-us-dietary-guidelines/article_4baae71b-8940-5c59-be20-d2edcb136456.html")</f>
        <v>https://www.thenassauguardian.com/ap/lifestyles/more-beans-and-less-red-meat-nutrition-experts-weigh-in-on-us-dietary-guidelines/article_4baae71b-8940-5c59-be20-d2edcb136456.html</v>
      </c>
      <c r="C3904" s="2" t="s">
        <v>1365</v>
      </c>
      <c r="D3904" s="3">
        <v>45642.791666666657</v>
      </c>
      <c r="E3904" s="2" t="s">
        <v>38</v>
      </c>
    </row>
    <row r="3905" spans="1:5" ht="84" x14ac:dyDescent="0.2">
      <c r="A3905" s="2" t="s">
        <v>3614</v>
      </c>
      <c r="B3905" s="2" t="str">
        <f>HYPERLINK("https://garyschwitzer.substack.com/p/news-about-dark-chocolate-and-diabetes")</f>
        <v>https://garyschwitzer.substack.com/p/news-about-dark-chocolate-and-diabetes</v>
      </c>
      <c r="C3905" s="2" t="s">
        <v>3615</v>
      </c>
      <c r="D3905" s="3">
        <v>45643.050393518519</v>
      </c>
      <c r="E3905" s="2" t="s">
        <v>3616</v>
      </c>
    </row>
    <row r="3906" spans="1:5" ht="70" x14ac:dyDescent="0.2">
      <c r="A3906" s="2" t="s">
        <v>3617</v>
      </c>
      <c r="B3906" s="2" t="str">
        <f>HYPERLINK("https://www.livemint.com/companies/news/oreo-owner-mondelez-taps-ai-to-tweak-its-classic-snacks-11734439748766.html")</f>
        <v>https://www.livemint.com/companies/news/oreo-owner-mondelez-taps-ai-to-tweak-its-classic-snacks-11734439748766.html</v>
      </c>
      <c r="C3906" s="2" t="s">
        <v>3618</v>
      </c>
      <c r="D3906" s="3">
        <v>45643.119953703703</v>
      </c>
      <c r="E3906" s="2" t="s">
        <v>3619</v>
      </c>
    </row>
    <row r="3907" spans="1:5" ht="70" x14ac:dyDescent="0.2">
      <c r="A3907" s="2" t="s">
        <v>3590</v>
      </c>
      <c r="B3907" s="2" t="str">
        <f>HYPERLINK("https://www.wsj.com/articles/oreo-owner-mondelez-taps-ai-to-tweak-its-classic-snacks-6fa4c4cd")</f>
        <v>https://www.wsj.com/articles/oreo-owner-mondelez-taps-ai-to-tweak-its-classic-snacks-6fa4c4cd</v>
      </c>
      <c r="C3907" s="2" t="s">
        <v>3588</v>
      </c>
      <c r="D3907" s="3">
        <v>45643.301944444444</v>
      </c>
      <c r="E3907" s="2" t="s">
        <v>3591</v>
      </c>
    </row>
    <row r="3908" spans="1:5" ht="140" x14ac:dyDescent="0.2">
      <c r="A3908" s="2" t="s">
        <v>3823</v>
      </c>
      <c r="B3908" s="2" t="str">
        <f>HYPERLINK("https://wherethefoodcomesfrom.com/usdas-2025-dietary-guidelines-key-findings-recommendations-and-public-comment-opportunities/")</f>
        <v>https://wherethefoodcomesfrom.com/usdas-2025-dietary-guidelines-key-findings-recommendations-and-public-comment-opportunities/</v>
      </c>
      <c r="C3908" s="2" t="s">
        <v>3824</v>
      </c>
      <c r="D3908" s="3">
        <v>45643.656041666669</v>
      </c>
      <c r="E3908" s="2" t="s">
        <v>3825</v>
      </c>
    </row>
    <row r="3909" spans="1:5" ht="70" x14ac:dyDescent="0.2">
      <c r="A3909" s="2" t="s">
        <v>3499</v>
      </c>
      <c r="B3909" s="2" t="str">
        <f>HYPERLINK("https://www.axios.com/newsletters/axios-vitals-9be61910-bc92-11ef-bcf5-7346e2015dfe")</f>
        <v>https://www.axios.com/newsletters/axios-vitals-9be61910-bc92-11ef-bcf5-7346e2015dfe</v>
      </c>
      <c r="C3909" s="2" t="s">
        <v>3500</v>
      </c>
      <c r="D3909" s="3">
        <v>45643.791666666657</v>
      </c>
      <c r="E3909" s="2" t="s">
        <v>3501</v>
      </c>
    </row>
    <row r="3910" spans="1:5" ht="70" x14ac:dyDescent="0.2">
      <c r="A3910" s="2" t="s">
        <v>3959</v>
      </c>
      <c r="B3910" s="2" t="str">
        <f>HYPERLINK("https://www.inoticias.cl/index.php/esta-es-la-verdura-que-reemplazara-a-la-carne-como")</f>
        <v>https://www.inoticias.cl/index.php/esta-es-la-verdura-que-reemplazara-a-la-carne-como</v>
      </c>
      <c r="C3910" s="2" t="s">
        <v>4065</v>
      </c>
      <c r="D3910" s="3">
        <v>45643.791666666657</v>
      </c>
      <c r="E3910" s="2" t="s">
        <v>3419</v>
      </c>
    </row>
    <row r="3911" spans="1:5" ht="70" x14ac:dyDescent="0.2">
      <c r="A3911" s="2" t="s">
        <v>2180</v>
      </c>
      <c r="B3911" s="2" t="str">
        <f>HYPERLINK("https://software.industriesnews.net/news/274860594/us-food-producer-mondelez-taps-ai-to-tweak-classic-snacks")</f>
        <v>https://software.industriesnews.net/news/274860594/us-food-producer-mondelez-taps-ai-to-tweak-classic-snacks</v>
      </c>
      <c r="C3911" s="2" t="s">
        <v>4221</v>
      </c>
      <c r="D3911" s="3">
        <v>45643.791666666657</v>
      </c>
      <c r="E3911" s="2" t="s">
        <v>2182</v>
      </c>
    </row>
    <row r="3912" spans="1:5" ht="84" x14ac:dyDescent="0.2">
      <c r="A3912" s="2" t="s">
        <v>292</v>
      </c>
      <c r="B3912" s="2" t="str">
        <f>HYPERLINK("https://www.miamitimesonline.com/lifestyles/health_wellness/more-beans-and-less-red-meat-nutrition-experts-weigh-in-on-us-dietary-guidelines/article_48d4abb4-bcd4-11ef-9c75-4bba921f32a8.html")</f>
        <v>https://www.miamitimesonline.com/lifestyles/health_wellness/more-beans-and-less-red-meat-nutrition-experts-weigh-in-on-us-dietary-guidelines/article_48d4abb4-bcd4-11ef-9c75-4bba921f32a8.html</v>
      </c>
      <c r="C3912" s="2" t="s">
        <v>1585</v>
      </c>
      <c r="D3912" s="3">
        <v>45643.809513888889</v>
      </c>
      <c r="E3912" s="2" t="s">
        <v>38</v>
      </c>
    </row>
    <row r="3913" spans="1:5" ht="84" x14ac:dyDescent="0.2">
      <c r="A3913" s="2" t="s">
        <v>3417</v>
      </c>
      <c r="B3913" s="2" t="str">
        <f>HYPERLINK("https://www.latercera.com/tendencias/noticia/esta-es-la-verdura-que-reemplazara-a-la-carne-como-proteina-segun-la-guia-dietetica-de-estados-unidos/4NTQIW3UOVHJRBZJRIZGFJDEUU/")</f>
        <v>https://www.latercera.com/tendencias/noticia/esta-es-la-verdura-que-reemplazara-a-la-carne-como-proteina-segun-la-guia-dietetica-de-estados-unidos/4NTQIW3UOVHJRBZJRIZGFJDEUU/</v>
      </c>
      <c r="C3913" s="2" t="s">
        <v>3418</v>
      </c>
      <c r="D3913" s="3">
        <v>45644.105810185189</v>
      </c>
      <c r="E3913" s="2" t="s">
        <v>3419</v>
      </c>
    </row>
    <row r="3914" spans="1:5" ht="42" x14ac:dyDescent="0.2">
      <c r="A3914" s="2" t="s">
        <v>3164</v>
      </c>
      <c r="B3914" s="2" t="str">
        <f>HYPERLINK("https://ground.news/article/the-first-lawsuit-against-ultra-processed-foods-food-politics-by-marion-nestle")</f>
        <v>https://ground.news/article/the-first-lawsuit-against-ultra-processed-foods-food-politics-by-marion-nestle</v>
      </c>
      <c r="C3914" s="2" t="s">
        <v>3162</v>
      </c>
      <c r="D3914" s="3">
        <v>45644.166678240741</v>
      </c>
      <c r="E3914" s="2"/>
    </row>
    <row r="3915" spans="1:5" ht="70" x14ac:dyDescent="0.2">
      <c r="A3915" s="2" t="s">
        <v>3502</v>
      </c>
      <c r="B3915" s="2" t="str">
        <f>HYPERLINK("https://www.axios.com/2024/12/18/american-diet-politics-chronic-disease")</f>
        <v>https://www.axios.com/2024/12/18/american-diet-politics-chronic-disease</v>
      </c>
      <c r="C3915" s="2" t="s">
        <v>3500</v>
      </c>
      <c r="D3915" s="3">
        <v>45644.229259259257</v>
      </c>
      <c r="E3915" s="2" t="s">
        <v>3501</v>
      </c>
    </row>
    <row r="3916" spans="1:5" ht="56" x14ac:dyDescent="0.2">
      <c r="A3916" s="2" t="s">
        <v>1761</v>
      </c>
      <c r="B3916" s="2" t="str">
        <f>HYPERLINK("https://salemnewschannel.com/watch/nutrition-experts-say-americans-need-to-eat-more-beans-and-less-red-meat-67634960c07b9f00015d5a57")</f>
        <v>https://salemnewschannel.com/watch/nutrition-experts-say-americans-need-to-eat-more-beans-and-less-red-meat-67634960c07b9f00015d5a57</v>
      </c>
      <c r="C3916" s="2" t="s">
        <v>1762</v>
      </c>
      <c r="D3916" s="3">
        <v>45644.510370370372</v>
      </c>
      <c r="E3916" s="2" t="s">
        <v>38</v>
      </c>
    </row>
    <row r="3917" spans="1:5" ht="70" x14ac:dyDescent="0.2">
      <c r="A3917" s="2" t="s">
        <v>1062</v>
      </c>
      <c r="B3917" s="2" t="str">
        <f>HYPERLINK("https://www.producebusiness.com/consumer-media-and-influencers-explore-health-produce-consumption-at-new-york-produce-show/")</f>
        <v>https://www.producebusiness.com/consumer-media-and-influencers-explore-health-produce-consumption-at-new-york-produce-show/</v>
      </c>
      <c r="C3917" s="2" t="s">
        <v>1063</v>
      </c>
      <c r="D3917" s="3">
        <v>45644.541666666657</v>
      </c>
      <c r="E3917" s="2" t="s">
        <v>618</v>
      </c>
    </row>
    <row r="3918" spans="1:5" ht="70" x14ac:dyDescent="0.2">
      <c r="A3918" s="2" t="s">
        <v>2180</v>
      </c>
      <c r="B3918" s="2" t="str">
        <f>HYPERLINK("http://www.china.org.cn/world/Off_the_Wire/2024-12/19/content_117616260.htm")</f>
        <v>http://www.china.org.cn/world/Off_the_Wire/2024-12/19/content_117616260.htm</v>
      </c>
      <c r="C3918" s="2" t="s">
        <v>2594</v>
      </c>
      <c r="D3918" s="3">
        <v>45644.620983796303</v>
      </c>
      <c r="E3918" s="2" t="s">
        <v>2182</v>
      </c>
    </row>
    <row r="3919" spans="1:5" ht="70" x14ac:dyDescent="0.2">
      <c r="A3919" s="2" t="s">
        <v>2180</v>
      </c>
      <c r="B3919" s="2" t="str">
        <f>HYPERLINK("https://www.bignewsnetwork.com/news/274860594/us-food-producer-mondelez-taps-ai-to-tweak-classic-snacks")</f>
        <v>https://www.bignewsnetwork.com/news/274860594/us-food-producer-mondelez-taps-ai-to-tweak-classic-snacks</v>
      </c>
      <c r="C3919" s="2" t="s">
        <v>2181</v>
      </c>
      <c r="D3919" s="3">
        <v>45644.63863425926</v>
      </c>
      <c r="E3919" s="2" t="s">
        <v>2182</v>
      </c>
    </row>
    <row r="3920" spans="1:5" ht="70" x14ac:dyDescent="0.2">
      <c r="A3920" s="2" t="s">
        <v>2180</v>
      </c>
      <c r="B3920" s="2" t="str">
        <f>HYPERLINK("https://english.news.cn/northamerica/20241219/a1470bfc554948a2b79475be88c89b75/c.html")</f>
        <v>https://english.news.cn/northamerica/20241219/a1470bfc554948a2b79475be88c89b75/c.html</v>
      </c>
      <c r="C3920" s="2" t="s">
        <v>2748</v>
      </c>
      <c r="D3920" s="3">
        <v>45644.702060185176</v>
      </c>
      <c r="E3920" s="2" t="s">
        <v>2182</v>
      </c>
    </row>
    <row r="3921" spans="1:5" ht="70" x14ac:dyDescent="0.2">
      <c r="A3921" s="2" t="s">
        <v>2137</v>
      </c>
      <c r="B3921" s="2" t="str">
        <f>HYPERLINK("https://www.digitaljournal.com/news/report-into-american-diets-time-to-go-plant-based/article")</f>
        <v>https://www.digitaljournal.com/news/report-into-american-diets-time-to-go-plant-based/article</v>
      </c>
      <c r="C3921" s="2" t="s">
        <v>2104</v>
      </c>
      <c r="D3921" s="3">
        <v>45644.730416666673</v>
      </c>
      <c r="E3921" s="2" t="s">
        <v>2138</v>
      </c>
    </row>
    <row r="3922" spans="1:5" ht="56" x14ac:dyDescent="0.2">
      <c r="A3922" s="2" t="s">
        <v>1551</v>
      </c>
      <c r="B3922" s="2" t="str">
        <f>HYPERLINK("https://wbhm.org/npr-story/who-can-say-its-healthy-the-fda-has-a-new-definition-for-food-labels/")</f>
        <v>https://wbhm.org/npr-story/who-can-say-its-healthy-the-fda-has-a-new-definition-for-food-labels/</v>
      </c>
      <c r="C3922" s="2" t="s">
        <v>1552</v>
      </c>
      <c r="D3922" s="3">
        <v>45644.791666666657</v>
      </c>
      <c r="E3922" s="2" t="s">
        <v>228</v>
      </c>
    </row>
    <row r="3923" spans="1:5" ht="70" x14ac:dyDescent="0.2">
      <c r="A3923" s="2" t="s">
        <v>664</v>
      </c>
      <c r="B3923" s="2" t="str">
        <f>HYPERLINK("http://kamonline.com.ar/articulo/con-estos-dos-simples-cambios-en-la-alimentacion-los-estadounidenses-pueden-tener-una-vida-mas-larga-y-saludable.php")</f>
        <v>http://kamonline.com.ar/articulo/con-estos-dos-simples-cambios-en-la-alimentacion-los-estadounidenses-pueden-tener-una-vida-mas-larga-y-saludable.php</v>
      </c>
      <c r="C3923" s="2" t="s">
        <v>4106</v>
      </c>
      <c r="D3923" s="3">
        <v>45644.791666666657</v>
      </c>
      <c r="E3923" s="2" t="s">
        <v>665</v>
      </c>
    </row>
    <row r="3924" spans="1:5" ht="56" x14ac:dyDescent="0.2">
      <c r="A3924" s="2" t="s">
        <v>122</v>
      </c>
      <c r="B3924" s="2" t="str">
        <f>HYPERLINK("http://more1049.com/news/030030-more-beans-and-less-red-meat-nutritionists-weigh-in-on-us-dietary-guidelines/")</f>
        <v>http://more1049.com/news/030030-more-beans-and-less-red-meat-nutritionists-weigh-in-on-us-dietary-guidelines/</v>
      </c>
      <c r="C3924" s="2" t="s">
        <v>623</v>
      </c>
      <c r="D3924" s="3">
        <v>45645.085798611108</v>
      </c>
      <c r="E3924" s="2" t="s">
        <v>38</v>
      </c>
    </row>
    <row r="3925" spans="1:5" ht="56" x14ac:dyDescent="0.2">
      <c r="A3925" s="2" t="s">
        <v>226</v>
      </c>
      <c r="B3925" s="2" t="str">
        <f>HYPERLINK("https://www.wets.org/npr-news/2024-12-19/who-can-say-its-healthy-the-fda-has-a-new-definition-for-food-labels")</f>
        <v>https://www.wets.org/npr-news/2024-12-19/who-can-say-its-healthy-the-fda-has-a-new-definition-for-food-labels</v>
      </c>
      <c r="C3925" s="2" t="s">
        <v>615</v>
      </c>
      <c r="D3925" s="3">
        <v>45645.228831018518</v>
      </c>
      <c r="E3925" s="2" t="s">
        <v>228</v>
      </c>
    </row>
    <row r="3926" spans="1:5" ht="56" x14ac:dyDescent="0.2">
      <c r="A3926" s="2" t="s">
        <v>226</v>
      </c>
      <c r="B3926" s="2" t="str">
        <f>HYPERLINK("https://wysu.org/npr-national-news/2024-12-19/who-can-say-its-healthy-the-fda-has-a-new-definition-for-food-labels")</f>
        <v>https://wysu.org/npr-national-news/2024-12-19/who-can-say-its-healthy-the-fda-has-a-new-definition-for-food-labels</v>
      </c>
      <c r="C3926" s="2" t="s">
        <v>689</v>
      </c>
      <c r="D3926" s="3">
        <v>45645.228831018518</v>
      </c>
      <c r="E3926" s="2" t="s">
        <v>228</v>
      </c>
    </row>
    <row r="3927" spans="1:5" ht="56" x14ac:dyDescent="0.2">
      <c r="A3927" s="2" t="s">
        <v>226</v>
      </c>
      <c r="B3927" s="2" t="str">
        <f>HYPERLINK("https://www.kzyx.org/npr-news/2024-12-19/who-can-say-its-healthy-the-fda-has-a-new-definition-for-food-labels")</f>
        <v>https://www.kzyx.org/npr-news/2024-12-19/who-can-say-its-healthy-the-fda-has-a-new-definition-for-food-labels</v>
      </c>
      <c r="C3927" s="2" t="s">
        <v>803</v>
      </c>
      <c r="D3927" s="3">
        <v>45645.228831018518</v>
      </c>
      <c r="E3927" s="2" t="s">
        <v>228</v>
      </c>
    </row>
    <row r="3928" spans="1:5" ht="56" x14ac:dyDescent="0.2">
      <c r="A3928" s="2" t="s">
        <v>226</v>
      </c>
      <c r="B3928" s="2" t="str">
        <f>HYPERLINK("https://www.khsu.org/2024-12-19/who-can-say-its-healthy-the-fda-has-a-new-definition-for-food-labels")</f>
        <v>https://www.khsu.org/2024-12-19/who-can-say-its-healthy-the-fda-has-a-new-definition-for-food-labels</v>
      </c>
      <c r="C3928" s="2" t="s">
        <v>827</v>
      </c>
      <c r="D3928" s="3">
        <v>45645.228831018518</v>
      </c>
      <c r="E3928" s="2" t="s">
        <v>228</v>
      </c>
    </row>
    <row r="3929" spans="1:5" ht="56" x14ac:dyDescent="0.2">
      <c r="A3929" s="2" t="s">
        <v>226</v>
      </c>
      <c r="B3929" s="2" t="str">
        <f>HYPERLINK("https://www.kios.org/2024-12-19/who-can-say-its-healthy-the-fda-has-a-new-definition-for-food-labels")</f>
        <v>https://www.kios.org/2024-12-19/who-can-say-its-healthy-the-fda-has-a-new-definition-for-food-labels</v>
      </c>
      <c r="C3929" s="2" t="s">
        <v>995</v>
      </c>
      <c r="D3929" s="3">
        <v>45645.228831018518</v>
      </c>
      <c r="E3929" s="2" t="s">
        <v>228</v>
      </c>
    </row>
    <row r="3930" spans="1:5" ht="56" x14ac:dyDescent="0.2">
      <c r="A3930" s="2" t="s">
        <v>226</v>
      </c>
      <c r="B3930" s="2" t="str">
        <f>HYPERLINK("https://newsfeed.wtjx.org/2024-12-19/who-can-say-its-healthy-the-fda-has-a-new-definition-for-food-labels")</f>
        <v>https://newsfeed.wtjx.org/2024-12-19/who-can-say-its-healthy-the-fda-has-a-new-definition-for-food-labels</v>
      </c>
      <c r="C3930" s="2" t="s">
        <v>1022</v>
      </c>
      <c r="D3930" s="3">
        <v>45645.228831018518</v>
      </c>
      <c r="E3930" s="2" t="s">
        <v>228</v>
      </c>
    </row>
    <row r="3931" spans="1:5" ht="56" x14ac:dyDescent="0.2">
      <c r="A3931" s="2" t="s">
        <v>226</v>
      </c>
      <c r="B3931" s="2" t="str">
        <f>HYPERLINK("https://www.wmky.org/npr-news/2024-12-19/who-can-say-its-healthy-the-fda-has-a-new-definition-for-food-labels")</f>
        <v>https://www.wmky.org/npr-news/2024-12-19/who-can-say-its-healthy-the-fda-has-a-new-definition-for-food-labels</v>
      </c>
      <c r="C3931" s="2" t="s">
        <v>1095</v>
      </c>
      <c r="D3931" s="3">
        <v>45645.228831018518</v>
      </c>
      <c r="E3931" s="2" t="s">
        <v>228</v>
      </c>
    </row>
    <row r="3932" spans="1:5" ht="56" x14ac:dyDescent="0.2">
      <c r="A3932" s="2" t="s">
        <v>226</v>
      </c>
      <c r="B3932" s="2" t="str">
        <f>HYPERLINK("https://www.wnmufm.org/2024-12-19/who-can-say-its-healthy-the-fda-has-a-new-definition-for-food-labels")</f>
        <v>https://www.wnmufm.org/2024-12-19/who-can-say-its-healthy-the-fda-has-a-new-definition-for-food-labels</v>
      </c>
      <c r="C3932" s="2" t="s">
        <v>1102</v>
      </c>
      <c r="D3932" s="3">
        <v>45645.228831018518</v>
      </c>
      <c r="E3932" s="2" t="s">
        <v>228</v>
      </c>
    </row>
    <row r="3933" spans="1:5" ht="56" x14ac:dyDescent="0.2">
      <c r="A3933" s="2" t="s">
        <v>226</v>
      </c>
      <c r="B3933" s="2" t="str">
        <f>HYPERLINK("https://news.wnin.org/2024-12-19/who-can-say-its-healthy-the-fda-has-a-new-definition-for-food-labels")</f>
        <v>https://news.wnin.org/2024-12-19/who-can-say-its-healthy-the-fda-has-a-new-definition-for-food-labels</v>
      </c>
      <c r="C3933" s="2" t="s">
        <v>1198</v>
      </c>
      <c r="D3933" s="3">
        <v>45645.228831018518</v>
      </c>
      <c r="E3933" s="2" t="s">
        <v>228</v>
      </c>
    </row>
    <row r="3934" spans="1:5" ht="56" x14ac:dyDescent="0.2">
      <c r="A3934" s="2" t="s">
        <v>226</v>
      </c>
      <c r="B3934" s="2" t="str">
        <f>HYPERLINK("https://www.mynspr.org/2024-12-19/who-can-say-its-healthy-the-fda-has-a-new-definition-for-food-labels")</f>
        <v>https://www.mynspr.org/2024-12-19/who-can-say-its-healthy-the-fda-has-a-new-definition-for-food-labels</v>
      </c>
      <c r="C3934" s="2" t="s">
        <v>1182</v>
      </c>
      <c r="D3934" s="3">
        <v>45645.228831018518</v>
      </c>
      <c r="E3934" s="2" t="s">
        <v>228</v>
      </c>
    </row>
    <row r="3935" spans="1:5" ht="56" x14ac:dyDescent="0.2">
      <c r="A3935" s="2" t="s">
        <v>226</v>
      </c>
      <c r="B3935" s="2" t="str">
        <f>HYPERLINK("https://kansaspublicradio.org/npr-news/2024-12-19/who-can-say-its-healthy-the-fda-has-a-new-definition-for-food-labels")</f>
        <v>https://kansaspublicradio.org/npr-news/2024-12-19/who-can-say-its-healthy-the-fda-has-a-new-definition-for-food-labels</v>
      </c>
      <c r="C3935" s="2" t="s">
        <v>1226</v>
      </c>
      <c r="D3935" s="3">
        <v>45645.228831018518</v>
      </c>
      <c r="E3935" s="2" t="s">
        <v>228</v>
      </c>
    </row>
    <row r="3936" spans="1:5" ht="56" x14ac:dyDescent="0.2">
      <c r="A3936" s="2" t="s">
        <v>226</v>
      </c>
      <c r="B3936" s="2" t="str">
        <f>HYPERLINK("https://www.interlochenpublicradio.org/2024-12-19/who-can-say-its-healthy-the-fda-has-a-new-definition-for-food-labels")</f>
        <v>https://www.interlochenpublicradio.org/2024-12-19/who-can-say-its-healthy-the-fda-has-a-new-definition-for-food-labels</v>
      </c>
      <c r="C3936" s="2" t="s">
        <v>1374</v>
      </c>
      <c r="D3936" s="3">
        <v>45645.228831018518</v>
      </c>
      <c r="E3936" s="2" t="s">
        <v>228</v>
      </c>
    </row>
    <row r="3937" spans="1:5" ht="56" x14ac:dyDescent="0.2">
      <c r="A3937" s="2" t="s">
        <v>226</v>
      </c>
      <c r="B3937" s="2" t="str">
        <f>HYPERLINK("https://www.ualrpublicradio.org/npr-news/2024-12-19/who-can-say-its-healthy-the-fda-has-a-new-definition-for-food-labels")</f>
        <v>https://www.ualrpublicradio.org/npr-news/2024-12-19/who-can-say-its-healthy-the-fda-has-a-new-definition-for-food-labels</v>
      </c>
      <c r="C3937" s="2" t="s">
        <v>1406</v>
      </c>
      <c r="D3937" s="3">
        <v>45645.228831018518</v>
      </c>
      <c r="E3937" s="2" t="s">
        <v>228</v>
      </c>
    </row>
    <row r="3938" spans="1:5" ht="56" x14ac:dyDescent="0.2">
      <c r="A3938" s="2" t="s">
        <v>226</v>
      </c>
      <c r="B3938" s="2" t="str">
        <f>HYPERLINK("https://www.ksmu.org/2024-12-19/who-can-say-its-healthy-the-fda-has-a-new-definition-for-food-labels")</f>
        <v>https://www.ksmu.org/2024-12-19/who-can-say-its-healthy-the-fda-has-a-new-definition-for-food-labels</v>
      </c>
      <c r="C3938" s="2" t="s">
        <v>1380</v>
      </c>
      <c r="D3938" s="3">
        <v>45645.228831018518</v>
      </c>
      <c r="E3938" s="2" t="s">
        <v>228</v>
      </c>
    </row>
    <row r="3939" spans="1:5" ht="56" x14ac:dyDescent="0.2">
      <c r="A3939" s="2" t="s">
        <v>226</v>
      </c>
      <c r="B3939" s="2" t="str">
        <f>HYPERLINK("https://www.whro.org/2024-12-19/who-can-say-its-healthy-the-fda-has-a-new-definition-for-food-labels")</f>
        <v>https://www.whro.org/2024-12-19/who-can-say-its-healthy-the-fda-has-a-new-definition-for-food-labels</v>
      </c>
      <c r="C3939" s="2" t="s">
        <v>1728</v>
      </c>
      <c r="D3939" s="3">
        <v>45645.228831018518</v>
      </c>
      <c r="E3939" s="2" t="s">
        <v>228</v>
      </c>
    </row>
    <row r="3940" spans="1:5" ht="56" x14ac:dyDescent="0.2">
      <c r="A3940" s="2" t="s">
        <v>226</v>
      </c>
      <c r="B3940" s="2" t="str">
        <f>HYPERLINK("https://www.sdpb.org/2024-12-19/who-can-say-its-healthy-the-fda-has-a-new-definition-for-food-labels")</f>
        <v>https://www.sdpb.org/2024-12-19/who-can-say-its-healthy-the-fda-has-a-new-definition-for-food-labels</v>
      </c>
      <c r="C3940" s="2" t="s">
        <v>1819</v>
      </c>
      <c r="D3940" s="3">
        <v>45645.228831018518</v>
      </c>
      <c r="E3940" s="2" t="s">
        <v>228</v>
      </c>
    </row>
    <row r="3941" spans="1:5" ht="56" x14ac:dyDescent="0.2">
      <c r="A3941" s="2" t="s">
        <v>226</v>
      </c>
      <c r="B3941" s="2" t="str">
        <f>HYPERLINK("https://www.weku.org/npr-news/2024-12-19/who-can-say-its-healthy-the-fda-has-a-new-definition-for-food-labels")</f>
        <v>https://www.weku.org/npr-news/2024-12-19/who-can-say-its-healthy-the-fda-has-a-new-definition-for-food-labels</v>
      </c>
      <c r="C3941" s="2" t="s">
        <v>1356</v>
      </c>
      <c r="D3941" s="3">
        <v>45645.228831018518</v>
      </c>
      <c r="E3941" s="2" t="s">
        <v>228</v>
      </c>
    </row>
    <row r="3942" spans="1:5" ht="56" x14ac:dyDescent="0.2">
      <c r="A3942" s="2" t="s">
        <v>226</v>
      </c>
      <c r="B3942" s="2" t="str">
        <f>HYPERLINK("https://www.wosu.org/npr-news/2024-12-19/who-can-say-its-healthy-the-fda-has-a-new-definition-for-food-labels")</f>
        <v>https://www.wosu.org/npr-news/2024-12-19/who-can-say-its-healthy-the-fda-has-a-new-definition-for-food-labels</v>
      </c>
      <c r="C3942" s="2" t="s">
        <v>2007</v>
      </c>
      <c r="D3942" s="3">
        <v>45645.228831018518</v>
      </c>
      <c r="E3942" s="2" t="s">
        <v>228</v>
      </c>
    </row>
    <row r="3943" spans="1:5" ht="56" x14ac:dyDescent="0.2">
      <c r="A3943" s="2" t="s">
        <v>226</v>
      </c>
      <c r="B3943" s="2" t="str">
        <f>HYPERLINK("https://www.wamc.org/2024-12-19/who-can-say-its-healthy-the-fda-has-a-new-definition-for-food-labels")</f>
        <v>https://www.wamc.org/2024-12-19/who-can-say-its-healthy-the-fda-has-a-new-definition-for-food-labels</v>
      </c>
      <c r="C3943" s="2" t="s">
        <v>2071</v>
      </c>
      <c r="D3943" s="3">
        <v>45645.228831018518</v>
      </c>
      <c r="E3943" s="2" t="s">
        <v>228</v>
      </c>
    </row>
    <row r="3944" spans="1:5" ht="56" x14ac:dyDescent="0.2">
      <c r="A3944" s="2" t="s">
        <v>226</v>
      </c>
      <c r="B3944" s="2" t="str">
        <f>HYPERLINK("https://www.keranews.org/2024-12-19/who-can-say-its-healthy-the-fda-has-a-new-definition-for-food-labels")</f>
        <v>https://www.keranews.org/2024-12-19/who-can-say-its-healthy-the-fda-has-a-new-definition-for-food-labels</v>
      </c>
      <c r="C3944" s="2" t="s">
        <v>2300</v>
      </c>
      <c r="D3944" s="3">
        <v>45645.228831018518</v>
      </c>
      <c r="E3944" s="2" t="s">
        <v>228</v>
      </c>
    </row>
    <row r="3945" spans="1:5" ht="56" x14ac:dyDescent="0.2">
      <c r="A3945" s="2" t="s">
        <v>226</v>
      </c>
      <c r="B3945" s="2" t="str">
        <f>HYPERLINK("https://www.wjab.org/2024-12-19/who-can-say-its-healthy-the-fda-has-a-new-definition-for-food-labels")</f>
        <v>https://www.wjab.org/2024-12-19/who-can-say-its-healthy-the-fda-has-a-new-definition-for-food-labels</v>
      </c>
      <c r="C3945" s="2" t="s">
        <v>3835</v>
      </c>
      <c r="D3945" s="3">
        <v>45645.228831018518</v>
      </c>
      <c r="E3945" s="2" t="s">
        <v>228</v>
      </c>
    </row>
    <row r="3946" spans="1:5" ht="112" x14ac:dyDescent="0.2">
      <c r="A3946" s="2" t="s">
        <v>3496</v>
      </c>
      <c r="B3946" s="2" t="str">
        <f>HYPERLINK("https://exame.com/marketing/mondelez-adota-ia-para-renovar-classicos-e-criar-novos-snacks/")</f>
        <v>https://exame.com/marketing/mondelez-adota-ia-para-renovar-classicos-e-criar-novos-snacks/</v>
      </c>
      <c r="C3946" s="2" t="s">
        <v>3497</v>
      </c>
      <c r="D3946" s="3">
        <v>45645.351412037038</v>
      </c>
      <c r="E3946" s="2" t="s">
        <v>3498</v>
      </c>
    </row>
    <row r="3947" spans="1:5" ht="56" x14ac:dyDescent="0.2">
      <c r="A3947" s="2" t="s">
        <v>226</v>
      </c>
      <c r="B3947" s="2" t="str">
        <f>HYPERLINK("https://thepublicsradio.org/npr/who-can-say-its-healthy-the-fda-has-a-new-definition-for-food-labels/")</f>
        <v>https://thepublicsradio.org/npr/who-can-say-its-healthy-the-fda-has-a-new-definition-for-food-labels/</v>
      </c>
      <c r="C3947" s="2" t="s">
        <v>1331</v>
      </c>
      <c r="D3947" s="3">
        <v>45645.437164351853</v>
      </c>
      <c r="E3947" s="2" t="s">
        <v>228</v>
      </c>
    </row>
    <row r="3948" spans="1:5" ht="56" x14ac:dyDescent="0.2">
      <c r="A3948" s="2" t="s">
        <v>226</v>
      </c>
      <c r="B3948" s="2" t="str">
        <f>HYPERLINK("https://news.wjct.org/2024-12-19/who-can-say-its-healthy-the-fda-has-a-new-definition-for-food-labels")</f>
        <v>https://news.wjct.org/2024-12-19/who-can-say-its-healthy-the-fda-has-a-new-definition-for-food-labels</v>
      </c>
      <c r="C3948" s="2" t="s">
        <v>1399</v>
      </c>
      <c r="D3948" s="3">
        <v>45645.437164351853</v>
      </c>
      <c r="E3948" s="2" t="s">
        <v>228</v>
      </c>
    </row>
    <row r="3949" spans="1:5" ht="56" x14ac:dyDescent="0.2">
      <c r="A3949" s="2" t="s">
        <v>226</v>
      </c>
      <c r="B3949" s="2" t="str">
        <f>HYPERLINK("https://www.kjzz.org/npr-top-stories/2024-12-19/who-can-say-its-healthy-the-fda-has-a-new-definition-for-food-labels")</f>
        <v>https://www.kjzz.org/npr-top-stories/2024-12-19/who-can-say-its-healthy-the-fda-has-a-new-definition-for-food-labels</v>
      </c>
      <c r="C3949" s="2" t="s">
        <v>2349</v>
      </c>
      <c r="D3949" s="3">
        <v>45645.437164351853</v>
      </c>
      <c r="E3949" s="2" t="s">
        <v>228</v>
      </c>
    </row>
    <row r="3950" spans="1:5" ht="56" x14ac:dyDescent="0.2">
      <c r="A3950" s="2" t="s">
        <v>226</v>
      </c>
      <c r="B3950" s="2" t="str">
        <f>HYPERLINK("https://www.wuft.org/2024-12-19/who-can-say-its-healthy-the-fda-has-a-new-definition-for-food-labels")</f>
        <v>https://www.wuft.org/2024-12-19/who-can-say-its-healthy-the-fda-has-a-new-definition-for-food-labels</v>
      </c>
      <c r="C3950" s="2" t="s">
        <v>2048</v>
      </c>
      <c r="D3950" s="3">
        <v>45645.437164351853</v>
      </c>
      <c r="E3950" s="2" t="s">
        <v>228</v>
      </c>
    </row>
    <row r="3951" spans="1:5" ht="210" x14ac:dyDescent="0.2">
      <c r="A3951" s="2" t="s">
        <v>3261</v>
      </c>
      <c r="B3951" s="2" t="str">
        <f>HYPERLINK("https://www.courrierinternational.com/stories/etats-unis-l-extreme-droite-craque-pour-le-lait-cru-et-c-est-absolument-terrifiant_225668")</f>
        <v>https://www.courrierinternational.com/stories/etats-unis-l-extreme-droite-craque-pour-le-lait-cru-et-c-est-absolument-terrifiant_225668</v>
      </c>
      <c r="C3951" s="2" t="s">
        <v>3262</v>
      </c>
      <c r="D3951" s="3">
        <v>45645.492060185177</v>
      </c>
      <c r="E3951" s="2" t="s">
        <v>3263</v>
      </c>
    </row>
    <row r="3952" spans="1:5" ht="42" x14ac:dyDescent="0.2">
      <c r="A3952" s="2" t="s">
        <v>2874</v>
      </c>
      <c r="B3952" s="2" t="str">
        <f>HYPERLINK("https://autos.yahoo.com/news/foods-considered-healthy-fda-issues-230051648.html")</f>
        <v>https://autos.yahoo.com/news/foods-considered-healthy-fda-issues-230051648.html</v>
      </c>
      <c r="C3952" s="2" t="s">
        <v>2873</v>
      </c>
      <c r="D3952" s="3">
        <v>45645.542256944442</v>
      </c>
      <c r="E3952" s="2" t="s">
        <v>2875</v>
      </c>
    </row>
    <row r="3953" spans="1:5" ht="56" x14ac:dyDescent="0.2">
      <c r="A3953" s="2" t="s">
        <v>2874</v>
      </c>
      <c r="B3953" s="2" t="str">
        <f>HYPERLINK("https://www.newsbreak.com/usa-today-560565/3723249638730-which-foods-are-considered-healthy-fda-issues-new-label-criteria")</f>
        <v>https://www.newsbreak.com/usa-today-560565/3723249638730-which-foods-are-considered-healthy-fda-issues-new-label-criteria</v>
      </c>
      <c r="C3953" s="2" t="s">
        <v>3461</v>
      </c>
      <c r="D3953" s="3">
        <v>45645.542256944442</v>
      </c>
      <c r="E3953" s="2" t="s">
        <v>2875</v>
      </c>
    </row>
    <row r="3954" spans="1:5" ht="42" x14ac:dyDescent="0.2">
      <c r="A3954" s="2" t="s">
        <v>2874</v>
      </c>
      <c r="B3954" s="2" t="str">
        <f>HYPERLINK("https://www.aol.com/news/foods-considered-healthy-fda-issues-230051648.html")</f>
        <v>https://www.aol.com/news/foods-considered-healthy-fda-issues-230051648.html</v>
      </c>
      <c r="C3954" s="2" t="s">
        <v>3592</v>
      </c>
      <c r="D3954" s="3">
        <v>45645.542256944442</v>
      </c>
      <c r="E3954" s="2" t="s">
        <v>2875</v>
      </c>
    </row>
    <row r="3955" spans="1:5" ht="42" x14ac:dyDescent="0.2">
      <c r="A3955" s="2" t="s">
        <v>2874</v>
      </c>
      <c r="B3955" s="2" t="str">
        <f>HYPERLINK("https://www.usatoday.com/story/news/health/2024/12/19/fda-healthy-food-label-new-rrules/77088086007/")</f>
        <v>https://www.usatoday.com/story/news/health/2024/12/19/fda-healthy-food-label-new-rrules/77088086007/</v>
      </c>
      <c r="C3955" s="2" t="s">
        <v>3687</v>
      </c>
      <c r="D3955" s="3">
        <v>45645.542256944442</v>
      </c>
      <c r="E3955" s="2" t="s">
        <v>2875</v>
      </c>
    </row>
    <row r="3956" spans="1:5" ht="70" x14ac:dyDescent="0.2">
      <c r="A3956" s="2" t="s">
        <v>664</v>
      </c>
      <c r="B3956" s="2" t="str">
        <f>HYPERLINK("https://www.lanacion.com.ar/lifestyle/cuidado-cuerpo-belleza/con-estos-dos-simples-cambios-en-la-alimentacion-los-estadounidenses-pueden-tener-una-vida-mas-larga-nid19122024/")</f>
        <v>https://www.lanacion.com.ar/lifestyle/cuidado-cuerpo-belleza/con-estos-dos-simples-cambios-en-la-alimentacion-los-estadounidenses-pueden-tener-una-vida-mas-larga-nid19122024/</v>
      </c>
      <c r="C3956" s="2" t="s">
        <v>3623</v>
      </c>
      <c r="D3956" s="3">
        <v>45645.569930555554</v>
      </c>
      <c r="E3956" s="2" t="s">
        <v>665</v>
      </c>
    </row>
    <row r="3957" spans="1:5" ht="42" x14ac:dyDescent="0.2">
      <c r="A3957" s="2" t="s">
        <v>3908</v>
      </c>
      <c r="B3957" s="2" t="str">
        <f>HYPERLINK("https://thebritishclub.co.uk/what-qualifies-as-healthy-food-fda-updates-label-criteria/")</f>
        <v>https://thebritishclub.co.uk/what-qualifies-as-healthy-food-fda-updates-label-criteria/</v>
      </c>
      <c r="C3957" s="2" t="s">
        <v>3909</v>
      </c>
      <c r="D3957" s="3">
        <v>45645.646886574083</v>
      </c>
      <c r="E3957" s="2" t="s">
        <v>3910</v>
      </c>
    </row>
    <row r="3958" spans="1:5" ht="56" x14ac:dyDescent="0.2">
      <c r="A3958" s="2" t="s">
        <v>226</v>
      </c>
      <c r="B3958" s="2" t="str">
        <f>HYPERLINK("https://radio.wcmu.org/health-science-and-environment/2024-12-19/who-can-say-its-healthy-the-fda-has-a-new-definition-for-food-labels")</f>
        <v>https://radio.wcmu.org/health-science-and-environment/2024-12-19/who-can-say-its-healthy-the-fda-has-a-new-definition-for-food-labels</v>
      </c>
      <c r="C3958" s="2" t="s">
        <v>1127</v>
      </c>
      <c r="D3958" s="3">
        <v>45645.648761574077</v>
      </c>
      <c r="E3958" s="2" t="s">
        <v>228</v>
      </c>
    </row>
    <row r="3959" spans="1:5" ht="56" x14ac:dyDescent="0.2">
      <c r="A3959" s="2" t="s">
        <v>226</v>
      </c>
      <c r="B3959" s="2" t="str">
        <f>HYPERLINK("https://www.wqln.org/health/2024-12-19/who-can-say-its-healthy-the-fda-has-a-new-definition-for-food-labels")</f>
        <v>https://www.wqln.org/health/2024-12-19/who-can-say-its-healthy-the-fda-has-a-new-definition-for-food-labels</v>
      </c>
      <c r="C3959" s="2" t="s">
        <v>1009</v>
      </c>
      <c r="D3959" s="3">
        <v>45645.649016203701</v>
      </c>
      <c r="E3959" s="2" t="s">
        <v>228</v>
      </c>
    </row>
    <row r="3960" spans="1:5" ht="56" x14ac:dyDescent="0.2">
      <c r="A3960" s="2" t="s">
        <v>226</v>
      </c>
      <c r="B3960" s="2" t="str">
        <f>HYPERLINK("https://www.kacu.org/2024-12-19/who-can-say-its-healthy-the-fda-has-a-new-definition-for-food-labels")</f>
        <v>https://www.kacu.org/2024-12-19/who-can-say-its-healthy-the-fda-has-a-new-definition-for-food-labels</v>
      </c>
      <c r="C3960" s="2" t="s">
        <v>611</v>
      </c>
      <c r="D3960" s="3">
        <v>45645.649467592593</v>
      </c>
      <c r="E3960" s="2" t="s">
        <v>228</v>
      </c>
    </row>
    <row r="3961" spans="1:5" ht="56" x14ac:dyDescent="0.2">
      <c r="A3961" s="2" t="s">
        <v>226</v>
      </c>
      <c r="B3961" s="2" t="str">
        <f>HYPERLINK("https://www.klcc.org/npr-health-fitness/2024-12-19/who-can-say-its-healthy-the-fda-has-a-new-definition-for-food-labels")</f>
        <v>https://www.klcc.org/npr-health-fitness/2024-12-19/who-can-say-its-healthy-the-fda-has-a-new-definition-for-food-labels</v>
      </c>
      <c r="C3961" s="2" t="s">
        <v>1809</v>
      </c>
      <c r="D3961" s="3">
        <v>45645.649502314824</v>
      </c>
      <c r="E3961" s="2" t="s">
        <v>228</v>
      </c>
    </row>
    <row r="3962" spans="1:5" ht="56" x14ac:dyDescent="0.2">
      <c r="A3962" s="2" t="s">
        <v>226</v>
      </c>
      <c r="B3962" s="2" t="str">
        <f>HYPERLINK("https://www.wxxinews.org/2024-12-19/who-can-say-its-healthy-the-fda-has-a-new-definition-for-food-labels")</f>
        <v>https://www.wxxinews.org/2024-12-19/who-can-say-its-healthy-the-fda-has-a-new-definition-for-food-labels</v>
      </c>
      <c r="C3962" s="2" t="s">
        <v>1924</v>
      </c>
      <c r="D3962" s="3">
        <v>45645.649872685193</v>
      </c>
      <c r="E3962" s="2" t="s">
        <v>228</v>
      </c>
    </row>
    <row r="3963" spans="1:5" ht="56" x14ac:dyDescent="0.2">
      <c r="A3963" s="2" t="s">
        <v>226</v>
      </c>
      <c r="B3963" s="2" t="str">
        <f>HYPERLINK("https://www.wknofm.org/2024-12-19/who-can-say-its-healthy-the-fda-has-a-new-definition-for-food-labels")</f>
        <v>https://www.wknofm.org/2024-12-19/who-can-say-its-healthy-the-fda-has-a-new-definition-for-food-labels</v>
      </c>
      <c r="C3963" s="2" t="s">
        <v>1065</v>
      </c>
      <c r="D3963" s="3">
        <v>45645.649884259263</v>
      </c>
      <c r="E3963" s="2" t="s">
        <v>228</v>
      </c>
    </row>
    <row r="3964" spans="1:5" ht="56" x14ac:dyDescent="0.2">
      <c r="A3964" s="2" t="s">
        <v>226</v>
      </c>
      <c r="B3964" s="2" t="str">
        <f>HYPERLINK("https://www.knau.org/npr-news/2024-12-19/who-can-say-its-healthy-the-fda-has-a-new-definition-for-food-labels")</f>
        <v>https://www.knau.org/npr-news/2024-12-19/who-can-say-its-healthy-the-fda-has-a-new-definition-for-food-labels</v>
      </c>
      <c r="C3964" s="2" t="s">
        <v>1538</v>
      </c>
      <c r="D3964" s="3">
        <v>45645.649930555563</v>
      </c>
      <c r="E3964" s="2" t="s">
        <v>228</v>
      </c>
    </row>
    <row r="3965" spans="1:5" ht="56" x14ac:dyDescent="0.2">
      <c r="A3965" s="2" t="s">
        <v>226</v>
      </c>
      <c r="B3965" s="2" t="str">
        <f>HYPERLINK("https://www.wuwf.org/2024-12-19/who-can-say-its-healthy-the-fda-has-a-new-definition-for-food-labels")</f>
        <v>https://www.wuwf.org/2024-12-19/who-can-say-its-healthy-the-fda-has-a-new-definition-for-food-labels</v>
      </c>
      <c r="C3965" s="2" t="s">
        <v>1288</v>
      </c>
      <c r="D3965" s="3">
        <v>45645.65016203704</v>
      </c>
      <c r="E3965" s="2" t="s">
        <v>228</v>
      </c>
    </row>
    <row r="3966" spans="1:5" ht="56" x14ac:dyDescent="0.2">
      <c r="A3966" s="2" t="s">
        <v>226</v>
      </c>
      <c r="B3966" s="2" t="str">
        <f>HYPERLINK("https://www.nhpr.org/2024-12-19/who-can-say-its-healthy-the-fda-has-a-new-definition-for-food-labels")</f>
        <v>https://www.nhpr.org/2024-12-19/who-can-say-its-healthy-the-fda-has-a-new-definition-for-food-labels</v>
      </c>
      <c r="C3966" s="2" t="s">
        <v>2323</v>
      </c>
      <c r="D3966" s="3">
        <v>45645.650277777779</v>
      </c>
      <c r="E3966" s="2" t="s">
        <v>228</v>
      </c>
    </row>
    <row r="3967" spans="1:5" ht="56" x14ac:dyDescent="0.2">
      <c r="A3967" s="2" t="s">
        <v>226</v>
      </c>
      <c r="B3967" s="2" t="str">
        <f>HYPERLINK("https://www.wkyufm.org/news/2024-12-19/who-can-say-its-healthy-the-fda-has-a-new-definition-for-food-labels")</f>
        <v>https://www.wkyufm.org/news/2024-12-19/who-can-say-its-healthy-the-fda-has-a-new-definition-for-food-labels</v>
      </c>
      <c r="C3967" s="2" t="s">
        <v>1146</v>
      </c>
      <c r="D3967" s="3">
        <v>45645.650752314818</v>
      </c>
      <c r="E3967" s="2" t="s">
        <v>228</v>
      </c>
    </row>
    <row r="3968" spans="1:5" ht="56" x14ac:dyDescent="0.2">
      <c r="A3968" s="2" t="s">
        <v>226</v>
      </c>
      <c r="B3968" s="2" t="str">
        <f>HYPERLINK("https://www.kunc.org/npr-news/2024-12-19/who-can-say-its-healthy-the-fda-has-a-new-definition-for-food-labels")</f>
        <v>https://www.kunc.org/npr-news/2024-12-19/who-can-say-its-healthy-the-fda-has-a-new-definition-for-food-labels</v>
      </c>
      <c r="C3968" s="2" t="s">
        <v>1691</v>
      </c>
      <c r="D3968" s="3">
        <v>45645.650752314818</v>
      </c>
      <c r="E3968" s="2" t="s">
        <v>228</v>
      </c>
    </row>
    <row r="3969" spans="1:5" ht="56" x14ac:dyDescent="0.2">
      <c r="A3969" s="2" t="s">
        <v>226</v>
      </c>
      <c r="B3969" s="2" t="str">
        <f>HYPERLINK("https://www.kunr.org/npr-news/2024-12-19/who-can-say-its-healthy-the-fda-has-a-new-definition-for-food-labels")</f>
        <v>https://www.kunr.org/npr-news/2024-12-19/who-can-say-its-healthy-the-fda-has-a-new-definition-for-food-labels</v>
      </c>
      <c r="C3969" s="2" t="s">
        <v>1574</v>
      </c>
      <c r="D3969" s="3">
        <v>45645.650972222233</v>
      </c>
      <c r="E3969" s="2" t="s">
        <v>228</v>
      </c>
    </row>
    <row r="3970" spans="1:5" ht="56" x14ac:dyDescent="0.2">
      <c r="A3970" s="2" t="s">
        <v>226</v>
      </c>
      <c r="B3970" s="2" t="str">
        <f>HYPERLINK("https://www.tspr.org/npr-news/2024-12-19/who-can-say-its-healthy-the-fda-has-a-new-definition-for-food-labels")</f>
        <v>https://www.tspr.org/npr-news/2024-12-19/who-can-say-its-healthy-the-fda-has-a-new-definition-for-food-labels</v>
      </c>
      <c r="C3970" s="2" t="s">
        <v>1083</v>
      </c>
      <c r="D3970" s="3">
        <v>45645.651273148149</v>
      </c>
      <c r="E3970" s="2" t="s">
        <v>228</v>
      </c>
    </row>
    <row r="3971" spans="1:5" ht="56" x14ac:dyDescent="0.2">
      <c r="A3971" s="2" t="s">
        <v>226</v>
      </c>
      <c r="B3971" s="2" t="str">
        <f>HYPERLINK("https://knpr.org/npr/2024-12-19/who-can-say-its-healthy-the-fda-has-a-new-definition-for-food-labels")</f>
        <v>https://knpr.org/npr/2024-12-19/who-can-say-its-healthy-the-fda-has-a-new-definition-for-food-labels</v>
      </c>
      <c r="C3971" s="2" t="s">
        <v>1724</v>
      </c>
      <c r="D3971" s="3">
        <v>45645.651377314818</v>
      </c>
      <c r="E3971" s="2" t="s">
        <v>228</v>
      </c>
    </row>
    <row r="3972" spans="1:5" ht="56" x14ac:dyDescent="0.2">
      <c r="A3972" s="2" t="s">
        <v>226</v>
      </c>
      <c r="B3972" s="2" t="str">
        <f>HYPERLINK("https://www.wdiy.org/npr-news/2024-12-19/who-can-say-its-healthy-the-fda-has-a-new-definition-for-food-labels")</f>
        <v>https://www.wdiy.org/npr-news/2024-12-19/who-can-say-its-healthy-the-fda-has-a-new-definition-for-food-labels</v>
      </c>
      <c r="C3972" s="2" t="s">
        <v>1108</v>
      </c>
      <c r="D3972" s="3">
        <v>45645.651435185187</v>
      </c>
      <c r="E3972" s="2" t="s">
        <v>228</v>
      </c>
    </row>
    <row r="3973" spans="1:5" ht="56" x14ac:dyDescent="0.2">
      <c r="A3973" s="2" t="s">
        <v>226</v>
      </c>
      <c r="B3973" s="2" t="str">
        <f>HYPERLINK("https://www.wglt.org/2024-12-19/who-can-say-its-healthy-the-fda-has-a-new-definition-for-food-labels")</f>
        <v>https://www.wglt.org/2024-12-19/who-can-say-its-healthy-the-fda-has-a-new-definition-for-food-labels</v>
      </c>
      <c r="C3973" s="2" t="s">
        <v>1951</v>
      </c>
      <c r="D3973" s="3">
        <v>45645.651435185187</v>
      </c>
      <c r="E3973" s="2" t="s">
        <v>228</v>
      </c>
    </row>
    <row r="3974" spans="1:5" ht="56" x14ac:dyDescent="0.2">
      <c r="A3974" s="2" t="s">
        <v>226</v>
      </c>
      <c r="B3974" s="2" t="str">
        <f>HYPERLINK("https://www.weaa.org/2024-12-19/who-can-say-its-healthy-the-fda-has-a-new-definition-for-food-labels")</f>
        <v>https://www.weaa.org/2024-12-19/who-can-say-its-healthy-the-fda-has-a-new-definition-for-food-labels</v>
      </c>
      <c r="C3974" s="2" t="s">
        <v>939</v>
      </c>
      <c r="D3974" s="3">
        <v>45645.651898148149</v>
      </c>
      <c r="E3974" s="2" t="s">
        <v>228</v>
      </c>
    </row>
    <row r="3975" spans="1:5" ht="56" x14ac:dyDescent="0.2">
      <c r="A3975" s="2" t="s">
        <v>226</v>
      </c>
      <c r="B3975" s="2" t="str">
        <f>HYPERLINK("https://www.delawarepublic.org/npr-headlines/2024-12-19/who-can-say-its-healthy-the-fda-has-a-new-definition-for-food-labels")</f>
        <v>https://www.delawarepublic.org/npr-headlines/2024-12-19/who-can-say-its-healthy-the-fda-has-a-new-definition-for-food-labels</v>
      </c>
      <c r="C3975" s="2" t="s">
        <v>1449</v>
      </c>
      <c r="D3975" s="3">
        <v>45645.652395833327</v>
      </c>
      <c r="E3975" s="2" t="s">
        <v>228</v>
      </c>
    </row>
    <row r="3976" spans="1:5" ht="56" x14ac:dyDescent="0.2">
      <c r="A3976" s="2" t="s">
        <v>226</v>
      </c>
      <c r="B3976" s="2" t="str">
        <f>HYPERLINK("https://www.lakeshorepublicmedia.org/npr-news/2024-12-19/who-can-say-its-healthy-the-fda-has-a-new-definition-for-food-labels")</f>
        <v>https://www.lakeshorepublicmedia.org/npr-news/2024-12-19/who-can-say-its-healthy-the-fda-has-a-new-definition-for-food-labels</v>
      </c>
      <c r="C3976" s="2" t="s">
        <v>1238</v>
      </c>
      <c r="D3976" s="3">
        <v>45645.652997685182</v>
      </c>
      <c r="E3976" s="2" t="s">
        <v>228</v>
      </c>
    </row>
    <row r="3977" spans="1:5" ht="56" x14ac:dyDescent="0.2">
      <c r="A3977" s="2" t="s">
        <v>226</v>
      </c>
      <c r="B3977" s="2" t="str">
        <f>HYPERLINK("https://www.wmra.org/2024-12-19/who-can-say-its-healthy-the-fda-has-a-new-definition-for-food-labels")</f>
        <v>https://www.wmra.org/2024-12-19/who-can-say-its-healthy-the-fda-has-a-new-definition-for-food-labels</v>
      </c>
      <c r="C3977" s="2" t="s">
        <v>1150</v>
      </c>
      <c r="D3977" s="3">
        <v>45645.654224537036</v>
      </c>
      <c r="E3977" s="2" t="s">
        <v>228</v>
      </c>
    </row>
    <row r="3978" spans="1:5" ht="56" x14ac:dyDescent="0.2">
      <c r="A3978" s="2" t="s">
        <v>226</v>
      </c>
      <c r="B3978" s="2" t="str">
        <f>HYPERLINK("https://www.wvia.org/news/health/2024-12-19/who-can-say-its-healthy-the-fda-has-a-new-definition-for-food-labels")</f>
        <v>https://www.wvia.org/news/health/2024-12-19/who-can-say-its-healthy-the-fda-has-a-new-definition-for-food-labels</v>
      </c>
      <c r="C3978" s="2" t="s">
        <v>1701</v>
      </c>
      <c r="D3978" s="3">
        <v>45645.654270833344</v>
      </c>
      <c r="E3978" s="2" t="s">
        <v>228</v>
      </c>
    </row>
    <row r="3979" spans="1:5" ht="56" x14ac:dyDescent="0.2">
      <c r="A3979" s="2" t="s">
        <v>226</v>
      </c>
      <c r="B3979" s="2" t="str">
        <f>HYPERLINK("https://www.wrvo.org/2024-12-19/who-can-say-its-healthy-the-fda-has-a-new-definition-for-food-labels")</f>
        <v>https://www.wrvo.org/2024-12-19/who-can-say-its-healthy-the-fda-has-a-new-definition-for-food-labels</v>
      </c>
      <c r="C3979" s="2" t="s">
        <v>1419</v>
      </c>
      <c r="D3979" s="3">
        <v>45645.654675925929</v>
      </c>
      <c r="E3979" s="2" t="s">
        <v>228</v>
      </c>
    </row>
    <row r="3980" spans="1:5" ht="56" x14ac:dyDescent="0.2">
      <c r="A3980" s="2" t="s">
        <v>226</v>
      </c>
      <c r="B3980" s="2" t="str">
        <f>HYPERLINK("https://www.kasu.org/health-science/2024-12-19/who-can-say-its-healthy-the-fda-has-a-new-definition-for-food-labels")</f>
        <v>https://www.kasu.org/health-science/2024-12-19/who-can-say-its-healthy-the-fda-has-a-new-definition-for-food-labels</v>
      </c>
      <c r="C3980" s="2" t="s">
        <v>900</v>
      </c>
      <c r="D3980" s="3">
        <v>45645.654907407406</v>
      </c>
      <c r="E3980" s="2" t="s">
        <v>228</v>
      </c>
    </row>
    <row r="3981" spans="1:5" ht="56" x14ac:dyDescent="0.2">
      <c r="A3981" s="2" t="s">
        <v>226</v>
      </c>
      <c r="B3981" s="2" t="str">
        <f>HYPERLINK("https://www.ideastream.org/2024-12-19/who-can-say-its-healthy-the-fda-has-a-new-definition-for-food-labels")</f>
        <v>https://www.ideastream.org/2024-12-19/who-can-say-its-healthy-the-fda-has-a-new-definition-for-food-labels</v>
      </c>
      <c r="C3981" s="2" t="s">
        <v>2230</v>
      </c>
      <c r="D3981" s="3">
        <v>45645.655543981477</v>
      </c>
      <c r="E3981" s="2" t="s">
        <v>228</v>
      </c>
    </row>
    <row r="3982" spans="1:5" ht="56" x14ac:dyDescent="0.2">
      <c r="A3982" s="2" t="s">
        <v>226</v>
      </c>
      <c r="B3982" s="2" t="str">
        <f>HYPERLINK("https://www.kbbi.org/npr-news/2024-12-19/who-can-say-its-healthy-the-fda-has-a-new-definition-for-food-labels")</f>
        <v>https://www.kbbi.org/npr-news/2024-12-19/who-can-say-its-healthy-the-fda-has-a-new-definition-for-food-labels</v>
      </c>
      <c r="C3982" s="2" t="s">
        <v>901</v>
      </c>
      <c r="D3982" s="3">
        <v>45645.656990740739</v>
      </c>
      <c r="E3982" s="2" t="s">
        <v>228</v>
      </c>
    </row>
    <row r="3983" spans="1:5" ht="56" x14ac:dyDescent="0.2">
      <c r="A3983" s="2" t="s">
        <v>226</v>
      </c>
      <c r="B3983" s="2" t="str">
        <f>HYPERLINK("https://www.wbaa.org/2024-12-19/who-can-say-its-healthy-the-fda-has-a-new-definition-for-food-labels")</f>
        <v>https://www.wbaa.org/2024-12-19/who-can-say-its-healthy-the-fda-has-a-new-definition-for-food-labels</v>
      </c>
      <c r="C3983" s="2" t="s">
        <v>997</v>
      </c>
      <c r="D3983" s="3">
        <v>45645.657800925917</v>
      </c>
      <c r="E3983" s="2" t="s">
        <v>228</v>
      </c>
    </row>
    <row r="3984" spans="1:5" ht="56" x14ac:dyDescent="0.2">
      <c r="A3984" s="2" t="s">
        <v>226</v>
      </c>
      <c r="B3984" s="2" t="str">
        <f>HYPERLINK("https://www.kgou.org/health/2024-12-19/who-can-say-its-healthy-the-fda-has-a-new-definition-for-food-labels")</f>
        <v>https://www.kgou.org/health/2024-12-19/who-can-say-its-healthy-the-fda-has-a-new-definition-for-food-labels</v>
      </c>
      <c r="C3984" s="2" t="s">
        <v>1316</v>
      </c>
      <c r="D3984" s="3">
        <v>45645.658946759257</v>
      </c>
      <c r="E3984" s="2" t="s">
        <v>228</v>
      </c>
    </row>
    <row r="3985" spans="1:5" ht="56" x14ac:dyDescent="0.2">
      <c r="A3985" s="2" t="s">
        <v>226</v>
      </c>
      <c r="B3985" s="2" t="str">
        <f>HYPERLINK("https://www.wcbe.org/npr-news/2024-12-19/who-can-say-its-healthy-the-fda-has-a-new-definition-for-food-labels")</f>
        <v>https://www.wcbe.org/npr-news/2024-12-19/who-can-say-its-healthy-the-fda-has-a-new-definition-for-food-labels</v>
      </c>
      <c r="C3985" s="2" t="s">
        <v>1153</v>
      </c>
      <c r="D3985" s="3">
        <v>45645.659016203703</v>
      </c>
      <c r="E3985" s="2" t="s">
        <v>228</v>
      </c>
    </row>
    <row r="3986" spans="1:5" ht="56" x14ac:dyDescent="0.2">
      <c r="A3986" s="2" t="s">
        <v>226</v>
      </c>
      <c r="B3986" s="2" t="str">
        <f>HYPERLINK("https://www.wcsufm.org/latest-from-npr/2024-12-19/who-can-say-its-healthy-the-fda-has-a-new-definition-for-food-labels")</f>
        <v>https://www.wcsufm.org/latest-from-npr/2024-12-19/who-can-say-its-healthy-the-fda-has-a-new-definition-for-food-labels</v>
      </c>
      <c r="C3986" s="2" t="s">
        <v>717</v>
      </c>
      <c r="D3986" s="3">
        <v>45645.659189814818</v>
      </c>
      <c r="E3986" s="2" t="s">
        <v>228</v>
      </c>
    </row>
    <row r="3987" spans="1:5" ht="56" x14ac:dyDescent="0.2">
      <c r="A3987" s="2" t="s">
        <v>226</v>
      </c>
      <c r="B3987" s="2" t="str">
        <f>HYPERLINK("https://www.wsiu.org/2024-12-19/who-can-say-its-healthy-the-fda-has-a-new-definition-for-food-labels")</f>
        <v>https://www.wsiu.org/2024-12-19/who-can-say-its-healthy-the-fda-has-a-new-definition-for-food-labels</v>
      </c>
      <c r="C3987" s="2" t="s">
        <v>1243</v>
      </c>
      <c r="D3987" s="3">
        <v>45645.659421296303</v>
      </c>
      <c r="E3987" s="2" t="s">
        <v>228</v>
      </c>
    </row>
    <row r="3988" spans="1:5" ht="56" x14ac:dyDescent="0.2">
      <c r="A3988" s="2" t="s">
        <v>226</v>
      </c>
      <c r="B3988" s="2" t="str">
        <f>HYPERLINK("https://www.delmarvapublicmedia.org/2024-12-19/who-can-say-its-healthy-the-fda-has-a-new-definition-for-food-labels")</f>
        <v>https://www.delmarvapublicmedia.org/2024-12-19/who-can-say-its-healthy-the-fda-has-a-new-definition-for-food-labels</v>
      </c>
      <c r="C3988" s="2" t="s">
        <v>719</v>
      </c>
      <c r="D3988" s="3">
        <v>45645.659583333327</v>
      </c>
      <c r="E3988" s="2" t="s">
        <v>228</v>
      </c>
    </row>
    <row r="3989" spans="1:5" ht="56" x14ac:dyDescent="0.2">
      <c r="A3989" s="2" t="s">
        <v>226</v>
      </c>
      <c r="B3989" s="2" t="str">
        <f>HYPERLINK("https://www.krwg.org/health/2024-12-19/who-can-say-its-healthy-the-fda-has-a-new-definition-for-food-labels")</f>
        <v>https://www.krwg.org/health/2024-12-19/who-can-say-its-healthy-the-fda-has-a-new-definition-for-food-labels</v>
      </c>
      <c r="C3989" s="2" t="s">
        <v>1254</v>
      </c>
      <c r="D3989" s="3">
        <v>45645.659710648149</v>
      </c>
      <c r="E3989" s="2" t="s">
        <v>228</v>
      </c>
    </row>
    <row r="3990" spans="1:5" ht="56" x14ac:dyDescent="0.2">
      <c r="A3990" s="2" t="s">
        <v>226</v>
      </c>
      <c r="B3990" s="2" t="str">
        <f>HYPERLINK("https://www.northernpublicradio.org/2024-12-19/who-can-say-its-healthy-the-fda-has-a-new-definition-for-food-labels")</f>
        <v>https://www.northernpublicradio.org/2024-12-19/who-can-say-its-healthy-the-fda-has-a-new-definition-for-food-labels</v>
      </c>
      <c r="C3990" s="2" t="s">
        <v>1550</v>
      </c>
      <c r="D3990" s="3">
        <v>45645.659722222219</v>
      </c>
      <c r="E3990" s="2" t="s">
        <v>228</v>
      </c>
    </row>
    <row r="3991" spans="1:5" ht="56" x14ac:dyDescent="0.2">
      <c r="A3991" s="2" t="s">
        <v>226</v>
      </c>
      <c r="B3991" s="2" t="str">
        <f>HYPERLINK("https://www.wprl.org/npr-news/2024-12-19/who-can-say-its-healthy-the-fda-has-a-new-definition-for-food-labels")</f>
        <v>https://www.wprl.org/npr-news/2024-12-19/who-can-say-its-healthy-the-fda-has-a-new-definition-for-food-labels</v>
      </c>
      <c r="C3991" s="2" t="s">
        <v>830</v>
      </c>
      <c r="D3991" s="3">
        <v>45645.659791666672</v>
      </c>
      <c r="E3991" s="2" t="s">
        <v>228</v>
      </c>
    </row>
    <row r="3992" spans="1:5" ht="56" x14ac:dyDescent="0.2">
      <c r="A3992" s="2" t="s">
        <v>226</v>
      </c>
      <c r="B3992" s="2" t="str">
        <f>HYPERLINK("https://www.npr.org/sections/shots-health-news/2024/12/19/nx-s1-5234143/fda-healthy-food-labels-diet")</f>
        <v>https://www.npr.org/sections/shots-health-news/2024/12/19/nx-s1-5234143/fda-healthy-food-labels-diet</v>
      </c>
      <c r="C3992" s="2" t="s">
        <v>3631</v>
      </c>
      <c r="D3992" s="3">
        <v>45645.659849537027</v>
      </c>
      <c r="E3992" s="2" t="s">
        <v>228</v>
      </c>
    </row>
    <row r="3993" spans="1:5" ht="56" x14ac:dyDescent="0.2">
      <c r="A3993" s="2" t="s">
        <v>226</v>
      </c>
      <c r="B3993" s="2" t="str">
        <f>HYPERLINK("https://www.kvnf.org/npr-news/2024-12-19/who-can-say-its-healthy-the-fda-has-a-new-definition-for-food-labels")</f>
        <v>https://www.kvnf.org/npr-news/2024-12-19/who-can-say-its-healthy-the-fda-has-a-new-definition-for-food-labels</v>
      </c>
      <c r="C3993" s="2" t="s">
        <v>910</v>
      </c>
      <c r="D3993" s="3">
        <v>45645.659918981481</v>
      </c>
      <c r="E3993" s="2" t="s">
        <v>228</v>
      </c>
    </row>
    <row r="3994" spans="1:5" ht="56" x14ac:dyDescent="0.2">
      <c r="A3994" s="2" t="s">
        <v>226</v>
      </c>
      <c r="B3994" s="2" t="str">
        <f>HYPERLINK("https://www.wwno.org/npr-news/2024-12-19/who-can-say-its-healthy-the-fda-has-a-new-definition-for-food-labels")</f>
        <v>https://www.wwno.org/npr-news/2024-12-19/who-can-say-its-healthy-the-fda-has-a-new-definition-for-food-labels</v>
      </c>
      <c r="C3994" s="2" t="s">
        <v>1623</v>
      </c>
      <c r="D3994" s="3">
        <v>45645.66002314815</v>
      </c>
      <c r="E3994" s="2" t="s">
        <v>228</v>
      </c>
    </row>
    <row r="3995" spans="1:5" ht="56" x14ac:dyDescent="0.2">
      <c r="A3995" s="2" t="s">
        <v>226</v>
      </c>
      <c r="B3995" s="2" t="str">
        <f>HYPERLINK("https://www.wutc.org/2024-12-19/who-can-say-its-healthy-the-fda-has-a-new-definition-for-food-labels")</f>
        <v>https://www.wutc.org/2024-12-19/who-can-say-its-healthy-the-fda-has-a-new-definition-for-food-labels</v>
      </c>
      <c r="C3995" s="2" t="s">
        <v>1005</v>
      </c>
      <c r="D3995" s="3">
        <v>45645.660069444442</v>
      </c>
      <c r="E3995" s="2" t="s">
        <v>228</v>
      </c>
    </row>
    <row r="3996" spans="1:5" ht="56" x14ac:dyDescent="0.2">
      <c r="A3996" s="2" t="s">
        <v>226</v>
      </c>
      <c r="B3996" s="2" t="str">
        <f>HYPERLINK("https://www.kazu.org/npr-news/2024-12-19/who-can-say-its-healthy-the-fda-has-a-new-definition-for-food-labels")</f>
        <v>https://www.kazu.org/npr-news/2024-12-19/who-can-say-its-healthy-the-fda-has-a-new-definition-for-food-labels</v>
      </c>
      <c r="C3996" s="2" t="s">
        <v>1248</v>
      </c>
      <c r="D3996" s="3">
        <v>45645.660185185188</v>
      </c>
      <c r="E3996" s="2" t="s">
        <v>228</v>
      </c>
    </row>
    <row r="3997" spans="1:5" ht="56" x14ac:dyDescent="0.2">
      <c r="A3997" s="2" t="s">
        <v>226</v>
      </c>
      <c r="B3997" s="2" t="str">
        <f>HYPERLINK("https://www.wusf.org/2024-12-19/who-can-say-its-healthy-the-fda-has-a-new-definition-for-food-labels")</f>
        <v>https://www.wusf.org/2024-12-19/who-can-say-its-healthy-the-fda-has-a-new-definition-for-food-labels</v>
      </c>
      <c r="C3997" s="2" t="s">
        <v>2382</v>
      </c>
      <c r="D3997" s="3">
        <v>45645.660219907397</v>
      </c>
      <c r="E3997" s="2" t="s">
        <v>228</v>
      </c>
    </row>
    <row r="3998" spans="1:5" ht="56" x14ac:dyDescent="0.2">
      <c r="A3998" s="2" t="s">
        <v>226</v>
      </c>
      <c r="B3998" s="2" t="str">
        <f>HYPERLINK("https://www.ksut.org/2024-12-19/who-can-say-its-healthy-the-fda-has-a-new-definition-for-food-labels")</f>
        <v>https://www.ksut.org/2024-12-19/who-can-say-its-healthy-the-fda-has-a-new-definition-for-food-labels</v>
      </c>
      <c r="C3998" s="2" t="s">
        <v>1169</v>
      </c>
      <c r="D3998" s="3">
        <v>45645.660243055558</v>
      </c>
      <c r="E3998" s="2" t="s">
        <v>228</v>
      </c>
    </row>
    <row r="3999" spans="1:5" ht="56" x14ac:dyDescent="0.2">
      <c r="A3999" s="2" t="s">
        <v>226</v>
      </c>
      <c r="B3999" s="2" t="str">
        <f>HYPERLINK("https://www.mtpr.org/2024-12-19/who-can-say-its-healthy-the-fda-has-a-new-definition-for-food-labels")</f>
        <v>https://www.mtpr.org/2024-12-19/who-can-say-its-healthy-the-fda-has-a-new-definition-for-food-labels</v>
      </c>
      <c r="C3999" s="2" t="s">
        <v>1846</v>
      </c>
      <c r="D3999" s="3">
        <v>45645.660555555558</v>
      </c>
      <c r="E3999" s="2" t="s">
        <v>228</v>
      </c>
    </row>
    <row r="4000" spans="1:5" ht="56" x14ac:dyDescent="0.2">
      <c r="A4000" s="2" t="s">
        <v>226</v>
      </c>
      <c r="B4000" s="2" t="str">
        <f>HYPERLINK("https://www.kedm.org/npr-news/2024-12-19/who-can-say-its-healthy-the-fda-has-a-new-definition-for-food-labels")</f>
        <v>https://www.kedm.org/npr-news/2024-12-19/who-can-say-its-healthy-the-fda-has-a-new-definition-for-food-labels</v>
      </c>
      <c r="C4000" s="2" t="s">
        <v>868</v>
      </c>
      <c r="D4000" s="3">
        <v>45645.660578703697</v>
      </c>
      <c r="E4000" s="2" t="s">
        <v>228</v>
      </c>
    </row>
    <row r="4001" spans="1:5" ht="56" x14ac:dyDescent="0.2">
      <c r="A4001" s="2" t="s">
        <v>226</v>
      </c>
      <c r="B4001" s="2" t="str">
        <f>HYPERLINK("https://www.ktep.org/2024-12-19/who-can-say-its-healthy-the-fda-has-a-new-definition-for-food-labels")</f>
        <v>https://www.ktep.org/2024-12-19/who-can-say-its-healthy-the-fda-has-a-new-definition-for-food-labels</v>
      </c>
      <c r="C4001" s="2" t="s">
        <v>849</v>
      </c>
      <c r="D4001" s="3">
        <v>45645.660729166673</v>
      </c>
      <c r="E4001" s="2" t="s">
        <v>228</v>
      </c>
    </row>
    <row r="4002" spans="1:5" ht="56" x14ac:dyDescent="0.2">
      <c r="A4002" s="2" t="s">
        <v>226</v>
      </c>
      <c r="B4002" s="2" t="str">
        <f>HYPERLINK("https://www.ketr.org/2024-12-19/who-can-say-its-healthy-the-fda-has-a-new-definition-for-food-labels")</f>
        <v>https://www.ketr.org/2024-12-19/who-can-say-its-healthy-the-fda-has-a-new-definition-for-food-labels</v>
      </c>
      <c r="C4002" s="2" t="s">
        <v>1131</v>
      </c>
      <c r="D4002" s="3">
        <v>45645.661006944443</v>
      </c>
      <c r="E4002" s="2" t="s">
        <v>228</v>
      </c>
    </row>
    <row r="4003" spans="1:5" ht="56" x14ac:dyDescent="0.2">
      <c r="A4003" s="2" t="s">
        <v>226</v>
      </c>
      <c r="B4003" s="2" t="str">
        <f>HYPERLINK("https://www.kpcw.org/npr-news/2024-12-19/who-can-say-its-healthy-the-fda-has-a-new-definition-for-food-labels")</f>
        <v>https://www.kpcw.org/npr-news/2024-12-19/who-can-say-its-healthy-the-fda-has-a-new-definition-for-food-labels</v>
      </c>
      <c r="C4003" s="2" t="s">
        <v>2067</v>
      </c>
      <c r="D4003" s="3">
        <v>45645.661122685182</v>
      </c>
      <c r="E4003" s="2" t="s">
        <v>228</v>
      </c>
    </row>
    <row r="4004" spans="1:5" ht="56" x14ac:dyDescent="0.2">
      <c r="A4004" s="2" t="s">
        <v>226</v>
      </c>
      <c r="B4004" s="2" t="str">
        <f>HYPERLINK("https://www.kunm.org/npr-news/2024-12-19/who-can-say-its-healthy-the-fda-has-a-new-definition-for-food-labels")</f>
        <v>https://www.kunm.org/npr-news/2024-12-19/who-can-say-its-healthy-the-fda-has-a-new-definition-for-food-labels</v>
      </c>
      <c r="C4004" s="2" t="s">
        <v>1553</v>
      </c>
      <c r="D4004" s="3">
        <v>45645.661192129628</v>
      </c>
      <c r="E4004" s="2" t="s">
        <v>228</v>
      </c>
    </row>
    <row r="4005" spans="1:5" ht="56" x14ac:dyDescent="0.2">
      <c r="A4005" s="2" t="s">
        <v>226</v>
      </c>
      <c r="B4005" s="2" t="str">
        <f>HYPERLINK("https://news.wfsu.org/all-npr-news/2024-12-19/who-can-say-its-healthy-the-fda-has-a-new-definition-for-food-labels")</f>
        <v>https://news.wfsu.org/all-npr-news/2024-12-19/who-can-say-its-healthy-the-fda-has-a-new-definition-for-food-labels</v>
      </c>
      <c r="C4005" s="2" t="s">
        <v>1707</v>
      </c>
      <c r="D4005" s="3">
        <v>45645.661296296297</v>
      </c>
      <c r="E4005" s="2" t="s">
        <v>228</v>
      </c>
    </row>
    <row r="4006" spans="1:5" ht="56" x14ac:dyDescent="0.2">
      <c r="A4006" s="2" t="s">
        <v>226</v>
      </c>
      <c r="B4006" s="2" t="str">
        <f>HYPERLINK("https://www.kdlg.org/as-heard-on-npr/2024-12-19/who-can-say-its-healthy-the-fda-has-a-new-definition-for-food-labels")</f>
        <v>https://www.kdlg.org/as-heard-on-npr/2024-12-19/who-can-say-its-healthy-the-fda-has-a-new-definition-for-food-labels</v>
      </c>
      <c r="C4006" s="2" t="s">
        <v>1008</v>
      </c>
      <c r="D4006" s="3">
        <v>45645.661562499998</v>
      </c>
      <c r="E4006" s="2" t="s">
        <v>228</v>
      </c>
    </row>
    <row r="4007" spans="1:5" ht="56" x14ac:dyDescent="0.2">
      <c r="A4007" s="2" t="s">
        <v>226</v>
      </c>
      <c r="B4007" s="2" t="str">
        <f>HYPERLINK("https://www.kwbu.org/latest-from-npr/2024-12-19/who-can-say-its-healthy-the-fda-has-a-new-definition-for-food-labels")</f>
        <v>https://www.kwbu.org/latest-from-npr/2024-12-19/who-can-say-its-healthy-the-fda-has-a-new-definition-for-food-labels</v>
      </c>
      <c r="C4007" s="2" t="s">
        <v>872</v>
      </c>
      <c r="D4007" s="3">
        <v>45645.661620370367</v>
      </c>
      <c r="E4007" s="2" t="s">
        <v>228</v>
      </c>
    </row>
    <row r="4008" spans="1:5" ht="56" x14ac:dyDescent="0.2">
      <c r="A4008" s="2" t="s">
        <v>226</v>
      </c>
      <c r="B4008" s="2" t="str">
        <f>HYPERLINK("https://www.publicradiotulsa.org/npr-national-news/2024-12-19/who-can-say-its-healthy-the-fda-has-a-new-definition-for-food-labels")</f>
        <v>https://www.publicradiotulsa.org/npr-national-news/2024-12-19/who-can-say-its-healthy-the-fda-has-a-new-definition-for-food-labels</v>
      </c>
      <c r="C4008" s="2" t="s">
        <v>1589</v>
      </c>
      <c r="D4008" s="3">
        <v>45645.662256944437</v>
      </c>
      <c r="E4008" s="2" t="s">
        <v>228</v>
      </c>
    </row>
    <row r="4009" spans="1:5" ht="56" x14ac:dyDescent="0.2">
      <c r="A4009" s="2" t="s">
        <v>226</v>
      </c>
      <c r="B4009" s="2" t="str">
        <f>HYPERLINK("https://www.nprillinois.org/2024-12-19/who-can-say-its-healthy-the-fda-has-a-new-definition-for-food-labels")</f>
        <v>https://www.nprillinois.org/2024-12-19/who-can-say-its-healthy-the-fda-has-a-new-definition-for-food-labels</v>
      </c>
      <c r="C4009" s="2" t="s">
        <v>1834</v>
      </c>
      <c r="D4009" s="3">
        <v>45645.662326388891</v>
      </c>
      <c r="E4009" s="2" t="s">
        <v>228</v>
      </c>
    </row>
    <row r="4010" spans="1:5" ht="56" x14ac:dyDescent="0.2">
      <c r="A4010" s="2" t="s">
        <v>226</v>
      </c>
      <c r="B4010" s="2" t="str">
        <f>HYPERLINK("https://www.iowapublicradio.org/news-from-npr/2024-12-19/who-can-say-its-healthy-the-fda-has-a-new-definition-for-food-labels")</f>
        <v>https://www.iowapublicradio.org/news-from-npr/2024-12-19/who-can-say-its-healthy-the-fda-has-a-new-definition-for-food-labels</v>
      </c>
      <c r="C4010" s="2" t="s">
        <v>1912</v>
      </c>
      <c r="D4010" s="3">
        <v>45645.662349537037</v>
      </c>
      <c r="E4010" s="2" t="s">
        <v>228</v>
      </c>
    </row>
    <row r="4011" spans="1:5" ht="56" x14ac:dyDescent="0.2">
      <c r="A4011" s="2" t="s">
        <v>226</v>
      </c>
      <c r="B4011" s="2" t="str">
        <f>HYPERLINK("https://www.gpb.org/news/shots-health-news/2024/12/19/who-can-say-its-healthy-the-fda-has-new-definition-for-food")</f>
        <v>https://www.gpb.org/news/shots-health-news/2024/12/19/who-can-say-its-healthy-the-fda-has-new-definition-for-food</v>
      </c>
      <c r="C4011" s="2" t="s">
        <v>2512</v>
      </c>
      <c r="D4011" s="3">
        <v>45645.662488425929</v>
      </c>
      <c r="E4011" s="2" t="s">
        <v>228</v>
      </c>
    </row>
    <row r="4012" spans="1:5" ht="56" x14ac:dyDescent="0.2">
      <c r="A4012" s="2" t="s">
        <v>226</v>
      </c>
      <c r="B4012" s="2" t="str">
        <f>HYPERLINK("https://fm.kuac.org/npr-news/2024-12-19/who-can-say-its-healthy-the-fda-has-a-new-definition-for-food-labels")</f>
        <v>https://fm.kuac.org/npr-news/2024-12-19/who-can-say-its-healthy-the-fda-has-a-new-definition-for-food-labels</v>
      </c>
      <c r="C4012" s="2" t="s">
        <v>882</v>
      </c>
      <c r="D4012" s="3">
        <v>45645.662499999999</v>
      </c>
      <c r="E4012" s="2" t="s">
        <v>228</v>
      </c>
    </row>
    <row r="4013" spans="1:5" ht="56" x14ac:dyDescent="0.2">
      <c r="A4013" s="2" t="s">
        <v>226</v>
      </c>
      <c r="B4013" s="2" t="str">
        <f>HYPERLINK("https://www.wlrn.org/npr-breaking-news/2024-12-19/who-can-say-its-healthy-the-fda-has-a-new-definition-for-food-labels")</f>
        <v>https://www.wlrn.org/npr-breaking-news/2024-12-19/who-can-say-its-healthy-the-fda-has-a-new-definition-for-food-labels</v>
      </c>
      <c r="C4013" s="2" t="s">
        <v>2277</v>
      </c>
      <c r="D4013" s="3">
        <v>45645.662800925929</v>
      </c>
      <c r="E4013" s="2" t="s">
        <v>228</v>
      </c>
    </row>
    <row r="4014" spans="1:5" ht="56" x14ac:dyDescent="0.2">
      <c r="A4014" s="2" t="s">
        <v>226</v>
      </c>
      <c r="B4014" s="2" t="str">
        <f>HYPERLINK("https://www.kclu.org/healthcare/2024-12-19/who-can-say-its-healthy-the-fda-has-a-new-definition-for-food-labels")</f>
        <v>https://www.kclu.org/healthcare/2024-12-19/who-can-say-its-healthy-the-fda-has-a-new-definition-for-food-labels</v>
      </c>
      <c r="C4014" s="2" t="s">
        <v>1529</v>
      </c>
      <c r="D4014" s="3">
        <v>45645.665289351848</v>
      </c>
      <c r="E4014" s="2" t="s">
        <v>228</v>
      </c>
    </row>
    <row r="4015" spans="1:5" ht="56" x14ac:dyDescent="0.2">
      <c r="A4015" s="2" t="s">
        <v>226</v>
      </c>
      <c r="B4015" s="2" t="str">
        <f>HYPERLINK("https://www.wyso.org/2024-12-19/who-can-say-its-healthy-the-fda-has-a-new-definition-for-food-labels")</f>
        <v>https://www.wyso.org/2024-12-19/who-can-say-its-healthy-the-fda-has-a-new-definition-for-food-labels</v>
      </c>
      <c r="C4015" s="2" t="s">
        <v>1639</v>
      </c>
      <c r="D4015" s="3">
        <v>45645.666192129633</v>
      </c>
      <c r="E4015" s="2" t="s">
        <v>228</v>
      </c>
    </row>
    <row r="4016" spans="1:5" ht="56" x14ac:dyDescent="0.2">
      <c r="A4016" s="2" t="s">
        <v>226</v>
      </c>
      <c r="B4016" s="2" t="str">
        <f>HYPERLINK("https://www.apr.org/science-health/2024-12-19/who-can-say-its-healthy-the-fda-has-a-new-definition-for-food-labels")</f>
        <v>https://www.apr.org/science-health/2024-12-19/who-can-say-its-healthy-the-fda-has-a-new-definition-for-food-labels</v>
      </c>
      <c r="C4016" s="2" t="s">
        <v>1452</v>
      </c>
      <c r="D4016" s="3">
        <v>45645.666354166657</v>
      </c>
      <c r="E4016" s="2" t="s">
        <v>228</v>
      </c>
    </row>
    <row r="4017" spans="1:5" ht="56" x14ac:dyDescent="0.2">
      <c r="A4017" s="2" t="s">
        <v>226</v>
      </c>
      <c r="B4017" s="2" t="str">
        <f>HYPERLINK("https://www.kccu.org/2024-12-19/who-can-say-its-healthy-the-fda-has-a-new-definition-for-food-labels")</f>
        <v>https://www.kccu.org/2024-12-19/who-can-say-its-healthy-the-fda-has-a-new-definition-for-food-labels</v>
      </c>
      <c r="C4017" s="2" t="s">
        <v>877</v>
      </c>
      <c r="D4017" s="3">
        <v>45645.66673611111</v>
      </c>
      <c r="E4017" s="2" t="s">
        <v>228</v>
      </c>
    </row>
    <row r="4018" spans="1:5" ht="56" x14ac:dyDescent="0.2">
      <c r="A4018" s="2" t="s">
        <v>226</v>
      </c>
      <c r="B4018" s="2" t="str">
        <f>HYPERLINK("https://www.kpbs.org/news/health/2024/12/19/who-can-say-its-healthy-the-fda-has-a-new-definition-for-food-labels")</f>
        <v>https://www.kpbs.org/news/health/2024/12/19/who-can-say-its-healthy-the-fda-has-a-new-definition-for-food-labels</v>
      </c>
      <c r="C4018" s="2" t="s">
        <v>2609</v>
      </c>
      <c r="D4018" s="3">
        <v>45645.668738425928</v>
      </c>
      <c r="E4018" s="2" t="s">
        <v>228</v>
      </c>
    </row>
    <row r="4019" spans="1:5" ht="56" x14ac:dyDescent="0.2">
      <c r="A4019" s="2" t="s">
        <v>226</v>
      </c>
      <c r="B4019" s="2" t="str">
        <f>HYPERLINK("https://www.kaxe.org/news/2024-12-19/who-can-say-its-healthy-the-fda-has-a-new-definition-for-food-labels")</f>
        <v>https://www.kaxe.org/news/2024-12-19/who-can-say-its-healthy-the-fda-has-a-new-definition-for-food-labels</v>
      </c>
      <c r="C4019" s="2" t="s">
        <v>1391</v>
      </c>
      <c r="D4019" s="3">
        <v>45645.668865740743</v>
      </c>
      <c r="E4019" s="2" t="s">
        <v>228</v>
      </c>
    </row>
    <row r="4020" spans="1:5" ht="56" x14ac:dyDescent="0.2">
      <c r="A4020" s="2" t="s">
        <v>226</v>
      </c>
      <c r="B4020" s="2" t="str">
        <f>HYPERLINK("https://www.kdll.org/npr-news/2024-12-19/who-can-say-its-healthy-the-fda-has-a-new-definition-for-food-labels")</f>
        <v>https://www.kdll.org/npr-news/2024-12-19/who-can-say-its-healthy-the-fda-has-a-new-definition-for-food-labels</v>
      </c>
      <c r="C4020" s="2" t="s">
        <v>866</v>
      </c>
      <c r="D4020" s="3">
        <v>45645.668969907398</v>
      </c>
      <c r="E4020" s="2" t="s">
        <v>228</v>
      </c>
    </row>
    <row r="4021" spans="1:5" ht="56" x14ac:dyDescent="0.2">
      <c r="A4021" s="2" t="s">
        <v>226</v>
      </c>
      <c r="B4021" s="2" t="str">
        <f>HYPERLINK("https://www.wvik.org/2024-12-19/who-can-say-its-healthy-the-fda-has-a-new-definition-for-food-labels")</f>
        <v>https://www.wvik.org/2024-12-19/who-can-say-its-healthy-the-fda-has-a-new-definition-for-food-labels</v>
      </c>
      <c r="C4021" s="2" t="s">
        <v>1051</v>
      </c>
      <c r="D4021" s="3">
        <v>45645.669328703712</v>
      </c>
      <c r="E4021" s="2" t="s">
        <v>228</v>
      </c>
    </row>
    <row r="4022" spans="1:5" ht="56" x14ac:dyDescent="0.2">
      <c r="A4022" s="2" t="s">
        <v>226</v>
      </c>
      <c r="B4022" s="2" t="str">
        <f>HYPERLINK("https://www.kvcrnews.org/2024-12-19/who-can-say-its-healthy-the-fda-has-a-new-definition-for-food-labels")</f>
        <v>https://www.kvcrnews.org/2024-12-19/who-can-say-its-healthy-the-fda-has-a-new-definition-for-food-labels</v>
      </c>
      <c r="C4022" s="2" t="s">
        <v>1049</v>
      </c>
      <c r="D4022" s="3">
        <v>45645.669571759259</v>
      </c>
      <c r="E4022" s="2" t="s">
        <v>228</v>
      </c>
    </row>
    <row r="4023" spans="1:5" ht="56" x14ac:dyDescent="0.2">
      <c r="A4023" s="2" t="s">
        <v>226</v>
      </c>
      <c r="B4023" s="2" t="str">
        <f>HYPERLINK("https://www.wboi.org/npr-news/2024-12-19/who-can-say-its-healthy-the-fda-has-a-new-definition-for-food-labels")</f>
        <v>https://www.wboi.org/npr-news/2024-12-19/who-can-say-its-healthy-the-fda-has-a-new-definition-for-food-labels</v>
      </c>
      <c r="C4023" s="2" t="s">
        <v>1220</v>
      </c>
      <c r="D4023" s="3">
        <v>45645.66982638889</v>
      </c>
      <c r="E4023" s="2" t="s">
        <v>228</v>
      </c>
    </row>
    <row r="4024" spans="1:5" ht="56" x14ac:dyDescent="0.2">
      <c r="A4024" s="2" t="s">
        <v>226</v>
      </c>
      <c r="B4024" s="2" t="str">
        <f>HYPERLINK("https://news.prairiepublic.org/news-from-npr/2024-12-19/who-can-say-its-healthy-the-fda-has-a-new-definition-for-food-labels")</f>
        <v>https://news.prairiepublic.org/news-from-npr/2024-12-19/who-can-say-its-healthy-the-fda-has-a-new-definition-for-food-labels</v>
      </c>
      <c r="C4024" s="2" t="s">
        <v>1145</v>
      </c>
      <c r="D4024" s="3">
        <v>45645.670254629629</v>
      </c>
      <c r="E4024" s="2" t="s">
        <v>228</v>
      </c>
    </row>
    <row r="4025" spans="1:5" ht="56" x14ac:dyDescent="0.2">
      <c r="A4025" s="2" t="s">
        <v>226</v>
      </c>
      <c r="B4025" s="2" t="str">
        <f>HYPERLINK("https://www.wvtf.org/2024-12-19/who-can-say-its-healthy-the-fda-has-a-new-definition-for-food-labels")</f>
        <v>https://www.wvtf.org/2024-12-19/who-can-say-its-healthy-the-fda-has-a-new-definition-for-food-labels</v>
      </c>
      <c r="C4025" s="2" t="s">
        <v>1738</v>
      </c>
      <c r="D4025" s="3">
        <v>45645.670266203713</v>
      </c>
      <c r="E4025" s="2" t="s">
        <v>228</v>
      </c>
    </row>
    <row r="4026" spans="1:5" ht="56" x14ac:dyDescent="0.2">
      <c r="A4026" s="2" t="s">
        <v>226</v>
      </c>
      <c r="B4026" s="2" t="str">
        <f>HYPERLINK("https://www.krvs.org/npr-news/2024-12-19/who-can-say-its-healthy-the-fda-has-a-new-definition-for-food-labels")</f>
        <v>https://www.krvs.org/npr-news/2024-12-19/who-can-say-its-healthy-the-fda-has-a-new-definition-for-food-labels</v>
      </c>
      <c r="C4026" s="2" t="s">
        <v>867</v>
      </c>
      <c r="D4026" s="3">
        <v>45645.67087962963</v>
      </c>
      <c r="E4026" s="2" t="s">
        <v>228</v>
      </c>
    </row>
    <row r="4027" spans="1:5" ht="56" x14ac:dyDescent="0.2">
      <c r="A4027" s="2" t="s">
        <v>226</v>
      </c>
      <c r="B4027" s="2" t="str">
        <f>HYPERLINK("https://www.wypr.org/2024-12-19/who-can-say-its-healthy-the-fda-has-a-new-definition-for-food-labels")</f>
        <v>https://www.wypr.org/2024-12-19/who-can-say-its-healthy-the-fda-has-a-new-definition-for-food-labels</v>
      </c>
      <c r="C4027" s="2" t="s">
        <v>1495</v>
      </c>
      <c r="D4027" s="3">
        <v>45645.670995370368</v>
      </c>
      <c r="E4027" s="2" t="s">
        <v>228</v>
      </c>
    </row>
    <row r="4028" spans="1:5" ht="56" x14ac:dyDescent="0.2">
      <c r="A4028" s="2" t="s">
        <v>226</v>
      </c>
      <c r="B4028" s="2" t="str">
        <f>HYPERLINK("https://www.wvpe.org/npr-news/2024-12-19/who-can-say-its-healthy-the-fda-has-a-new-definition-for-food-labels")</f>
        <v>https://www.wvpe.org/npr-news/2024-12-19/who-can-say-its-healthy-the-fda-has-a-new-definition-for-food-labels</v>
      </c>
      <c r="C4028" s="2" t="s">
        <v>1234</v>
      </c>
      <c r="D4028" s="3">
        <v>45645.671018518522</v>
      </c>
      <c r="E4028" s="2" t="s">
        <v>228</v>
      </c>
    </row>
    <row r="4029" spans="1:5" ht="56" x14ac:dyDescent="0.2">
      <c r="A4029" s="2" t="s">
        <v>226</v>
      </c>
      <c r="B4029" s="2" t="str">
        <f>HYPERLINK("https://www.knba.org/npr-news/2024-12-19/who-can-say-its-healthy-the-fda-has-a-new-definition-for-food-labels")</f>
        <v>https://www.knba.org/npr-news/2024-12-19/who-can-say-its-healthy-the-fda-has-a-new-definition-for-food-labels</v>
      </c>
      <c r="C4029" s="2" t="s">
        <v>768</v>
      </c>
      <c r="D4029" s="3">
        <v>45645.671134259261</v>
      </c>
      <c r="E4029" s="2" t="s">
        <v>228</v>
      </c>
    </row>
    <row r="4030" spans="1:5" ht="56" x14ac:dyDescent="0.2">
      <c r="A4030" s="2" t="s">
        <v>226</v>
      </c>
      <c r="B4030" s="2" t="str">
        <f>HYPERLINK("https://www.upr.org/npr-news/2024-12-19/who-can-say-its-healthy-the-fda-has-a-new-definition-for-food-labels")</f>
        <v>https://www.upr.org/npr-news/2024-12-19/who-can-say-its-healthy-the-fda-has-a-new-definition-for-food-labels</v>
      </c>
      <c r="C4030" s="2" t="s">
        <v>1442</v>
      </c>
      <c r="D4030" s="3">
        <v>45645.671168981477</v>
      </c>
      <c r="E4030" s="2" t="s">
        <v>228</v>
      </c>
    </row>
    <row r="4031" spans="1:5" ht="56" x14ac:dyDescent="0.2">
      <c r="A4031" s="2" t="s">
        <v>226</v>
      </c>
      <c r="B4031" s="2" t="str">
        <f>HYPERLINK("https://www.ctpublic.org/2024-12-19/who-can-say-its-healthy-the-fda-has-a-new-definition-for-food-labels")</f>
        <v>https://www.ctpublic.org/2024-12-19/who-can-say-its-healthy-the-fda-has-a-new-definition-for-food-labels</v>
      </c>
      <c r="C4031" s="2" t="s">
        <v>2085</v>
      </c>
      <c r="D4031" s="3">
        <v>45645.671412037038</v>
      </c>
      <c r="E4031" s="2" t="s">
        <v>228</v>
      </c>
    </row>
    <row r="4032" spans="1:5" ht="56" x14ac:dyDescent="0.2">
      <c r="A4032" s="2" t="s">
        <v>226</v>
      </c>
      <c r="B4032" s="2" t="str">
        <f>HYPERLINK("https://radio.wpsu.org/2024-12-19/who-can-say-its-healthy-the-fda-has-a-new-definition-for-food-labels")</f>
        <v>https://radio.wpsu.org/2024-12-19/who-can-say-its-healthy-the-fda-has-a-new-definition-for-food-labels</v>
      </c>
      <c r="C4032" s="2" t="s">
        <v>1128</v>
      </c>
      <c r="D4032" s="3">
        <v>45645.671458333331</v>
      </c>
      <c r="E4032" s="2" t="s">
        <v>228</v>
      </c>
    </row>
    <row r="4033" spans="1:5" ht="56" x14ac:dyDescent="0.2">
      <c r="A4033" s="2" t="s">
        <v>226</v>
      </c>
      <c r="B4033" s="2" t="str">
        <f>HYPERLINK("https://www.krcu.org/2024-12-19/who-can-say-its-healthy-the-fda-has-a-new-definition-for-food-labels")</f>
        <v>https://www.krcu.org/2024-12-19/who-can-say-its-healthy-the-fda-has-a-new-definition-for-food-labels</v>
      </c>
      <c r="C4033" s="2" t="s">
        <v>888</v>
      </c>
      <c r="D4033" s="3">
        <v>45645.671469907407</v>
      </c>
      <c r="E4033" s="2" t="s">
        <v>228</v>
      </c>
    </row>
    <row r="4034" spans="1:5" ht="56" x14ac:dyDescent="0.2">
      <c r="A4034" s="2" t="s">
        <v>226</v>
      </c>
      <c r="B4034" s="2" t="str">
        <f>HYPERLINK("https://www.wvasfm.org/2024-12-19/who-can-say-its-healthy-the-fda-has-a-new-definition-for-food-labels")</f>
        <v>https://www.wvasfm.org/2024-12-19/who-can-say-its-healthy-the-fda-has-a-new-definition-for-food-labels</v>
      </c>
      <c r="C4034" s="2" t="s">
        <v>699</v>
      </c>
      <c r="D4034" s="3">
        <v>45645.671574074076</v>
      </c>
      <c r="E4034" s="2" t="s">
        <v>228</v>
      </c>
    </row>
    <row r="4035" spans="1:5" ht="56" x14ac:dyDescent="0.2">
      <c r="A4035" s="2" t="s">
        <v>226</v>
      </c>
      <c r="B4035" s="2" t="str">
        <f>HYPERLINK("https://www.cfpublic.org/2024-12-19/who-can-say-its-healthy-the-fda-has-a-new-definition-for-food-labels")</f>
        <v>https://www.cfpublic.org/2024-12-19/who-can-say-its-healthy-the-fda-has-a-new-definition-for-food-labels</v>
      </c>
      <c r="C4035" s="2" t="s">
        <v>1472</v>
      </c>
      <c r="D4035" s="3">
        <v>45645.671574074076</v>
      </c>
      <c r="E4035" s="2" t="s">
        <v>228</v>
      </c>
    </row>
    <row r="4036" spans="1:5" ht="56" x14ac:dyDescent="0.2">
      <c r="A4036" s="2" t="s">
        <v>226</v>
      </c>
      <c r="B4036" s="2" t="str">
        <f>HYPERLINK("https://www.kyuk.org/2024-12-19/who-can-say-its-healthy-the-fda-has-a-new-definition-for-food-labels")</f>
        <v>https://www.kyuk.org/2024-12-19/who-can-say-its-healthy-the-fda-has-a-new-definition-for-food-labels</v>
      </c>
      <c r="C4036" s="2" t="s">
        <v>1355</v>
      </c>
      <c r="D4036" s="3">
        <v>45645.671689814822</v>
      </c>
      <c r="E4036" s="2" t="s">
        <v>228</v>
      </c>
    </row>
    <row r="4037" spans="1:5" ht="56" x14ac:dyDescent="0.2">
      <c r="A4037" s="2" t="s">
        <v>348</v>
      </c>
      <c r="B4037" s="2" t="str">
        <f>HYPERLINK("https://wdcnews6.com/the-fda-has-redefined-what-counts-as-healthy-on-food-labels-shots/")</f>
        <v>https://wdcnews6.com/the-fda-has-redefined-what-counts-as-healthy-on-food-labels-shots/</v>
      </c>
      <c r="C4037" s="2" t="s">
        <v>541</v>
      </c>
      <c r="D4037" s="3">
        <v>45645.672349537039</v>
      </c>
      <c r="E4037" s="2" t="s">
        <v>228</v>
      </c>
    </row>
    <row r="4038" spans="1:5" ht="56" x14ac:dyDescent="0.2">
      <c r="A4038" s="2" t="s">
        <v>226</v>
      </c>
      <c r="B4038" s="2" t="str">
        <f>HYPERLINK("https://www.ypradio.org/npr-news/2024-12-19/who-can-say-its-healthy-the-fda-has-a-new-definition-for-food-labels")</f>
        <v>https://www.ypradio.org/npr-news/2024-12-19/who-can-say-its-healthy-the-fda-has-a-new-definition-for-food-labels</v>
      </c>
      <c r="C4038" s="2" t="s">
        <v>1225</v>
      </c>
      <c r="D4038" s="3">
        <v>45645.672395833331</v>
      </c>
      <c r="E4038" s="2" t="s">
        <v>228</v>
      </c>
    </row>
    <row r="4039" spans="1:5" ht="56" x14ac:dyDescent="0.2">
      <c r="A4039" s="2" t="s">
        <v>226</v>
      </c>
      <c r="B4039" s="2" t="str">
        <f>HYPERLINK("https://www.kdnk.org/2024-12-19/who-can-say-its-healthy-the-fda-has-a-new-definition-for-food-labels")</f>
        <v>https://www.kdnk.org/2024-12-19/who-can-say-its-healthy-the-fda-has-a-new-definition-for-food-labels</v>
      </c>
      <c r="C4039" s="2" t="s">
        <v>835</v>
      </c>
      <c r="D4039" s="3">
        <v>45645.672407407408</v>
      </c>
      <c r="E4039" s="2" t="s">
        <v>228</v>
      </c>
    </row>
    <row r="4040" spans="1:5" ht="56" x14ac:dyDescent="0.2">
      <c r="A4040" s="2" t="s">
        <v>226</v>
      </c>
      <c r="B4040" s="2" t="str">
        <f>HYPERLINK("https://www.kuaf.com/npr-news/2024-12-19/who-can-say-its-healthy-the-fda-has-a-new-definition-for-food-labels")</f>
        <v>https://www.kuaf.com/npr-news/2024-12-19/who-can-say-its-healthy-the-fda-has-a-new-definition-for-food-labels</v>
      </c>
      <c r="C4040" s="2" t="s">
        <v>1473</v>
      </c>
      <c r="D4040" s="3">
        <v>45645.672511574077</v>
      </c>
      <c r="E4040" s="2" t="s">
        <v>228</v>
      </c>
    </row>
    <row r="4041" spans="1:5" ht="56" x14ac:dyDescent="0.2">
      <c r="A4041" s="2" t="s">
        <v>226</v>
      </c>
      <c r="B4041" s="2" t="str">
        <f>HYPERLINK("https://www.wuwm.com/health-science/2024-12-19/who-can-say-its-healthy-the-fda-has-a-new-definition-for-food-labels")</f>
        <v>https://www.wuwm.com/health-science/2024-12-19/who-can-say-its-healthy-the-fda-has-a-new-definition-for-food-labels</v>
      </c>
      <c r="C4041" s="2" t="s">
        <v>2012</v>
      </c>
      <c r="D4041" s="3">
        <v>45645.673194444447</v>
      </c>
      <c r="E4041" s="2" t="s">
        <v>228</v>
      </c>
    </row>
    <row r="4042" spans="1:5" ht="56" x14ac:dyDescent="0.2">
      <c r="A4042" s="2" t="s">
        <v>226</v>
      </c>
      <c r="B4042" s="2" t="str">
        <f>HYPERLINK("https://www.wvxu.org/news-from-npr/2024-12-19/who-can-say-its-healthy-the-fda-has-a-new-definition-for-food-labels")</f>
        <v>https://www.wvxu.org/news-from-npr/2024-12-19/who-can-say-its-healthy-the-fda-has-a-new-definition-for-food-labels</v>
      </c>
      <c r="C4042" s="2" t="s">
        <v>2134</v>
      </c>
      <c r="D4042" s="3">
        <v>45645.673900462964</v>
      </c>
      <c r="E4042" s="2" t="s">
        <v>228</v>
      </c>
    </row>
    <row r="4043" spans="1:5" ht="56" x14ac:dyDescent="0.2">
      <c r="A4043" s="2" t="s">
        <v>226</v>
      </c>
      <c r="B4043" s="2" t="str">
        <f>HYPERLINK("https://www.wxpr.org/2024-12-19/who-can-say-its-healthy-the-fda-has-a-new-definition-for-food-labels")</f>
        <v>https://www.wxpr.org/2024-12-19/who-can-say-its-healthy-the-fda-has-a-new-definition-for-food-labels</v>
      </c>
      <c r="C4043" s="2" t="s">
        <v>1493</v>
      </c>
      <c r="D4043" s="3">
        <v>45645.674363425933</v>
      </c>
      <c r="E4043" s="2" t="s">
        <v>228</v>
      </c>
    </row>
    <row r="4044" spans="1:5" ht="56" x14ac:dyDescent="0.2">
      <c r="A4044" s="2" t="s">
        <v>226</v>
      </c>
      <c r="B4044" s="2" t="str">
        <f>HYPERLINK("https://www.wuga.org/2024-12-19/who-can-say-its-healthy-the-fda-has-a-new-definition-for-food-labels")</f>
        <v>https://www.wuga.org/2024-12-19/who-can-say-its-healthy-the-fda-has-a-new-definition-for-food-labels</v>
      </c>
      <c r="C4044" s="2" t="s">
        <v>1113</v>
      </c>
      <c r="D4044" s="3">
        <v>45645.674710648149</v>
      </c>
      <c r="E4044" s="2" t="s">
        <v>228</v>
      </c>
    </row>
    <row r="4045" spans="1:5" ht="56" x14ac:dyDescent="0.2">
      <c r="A4045" s="2" t="s">
        <v>226</v>
      </c>
      <c r="B4045" s="2" t="str">
        <f>HYPERLINK("https://www.wclk.com/2024-12-19/who-can-say-its-healthy-the-fda-has-a-new-definition-for-food-labels")</f>
        <v>https://www.wclk.com/2024-12-19/who-can-say-its-healthy-the-fda-has-a-new-definition-for-food-labels</v>
      </c>
      <c r="C4045" s="2" t="s">
        <v>1184</v>
      </c>
      <c r="D4045" s="3">
        <v>45645.675636574073</v>
      </c>
      <c r="E4045" s="2" t="s">
        <v>228</v>
      </c>
    </row>
    <row r="4046" spans="1:5" ht="56" x14ac:dyDescent="0.2">
      <c r="A4046" s="2" t="s">
        <v>226</v>
      </c>
      <c r="B4046" s="2" t="str">
        <f>HYPERLINK("https://www.wyomingpublicmedia.org/2024-12-19/who-can-say-its-healthy-the-fda-has-a-new-definition-for-food-labels")</f>
        <v>https://www.wyomingpublicmedia.org/2024-12-19/who-can-say-its-healthy-the-fda-has-a-new-definition-for-food-labels</v>
      </c>
      <c r="C4046" s="2" t="s">
        <v>1820</v>
      </c>
      <c r="D4046" s="3">
        <v>45645.676099537042</v>
      </c>
      <c r="E4046" s="2" t="s">
        <v>228</v>
      </c>
    </row>
    <row r="4047" spans="1:5" ht="56" x14ac:dyDescent="0.2">
      <c r="A4047" s="2" t="s">
        <v>226</v>
      </c>
      <c r="B4047" s="2" t="str">
        <f>HYPERLINK("https://www.wcbu.org/npr-news/2024-12-19/who-can-say-its-healthy-the-fda-has-a-new-definition-for-food-labels")</f>
        <v>https://www.wcbu.org/npr-news/2024-12-19/who-can-say-its-healthy-the-fda-has-a-new-definition-for-food-labels</v>
      </c>
      <c r="C4047" s="2" t="s">
        <v>1471</v>
      </c>
      <c r="D4047" s="3">
        <v>45645.676550925928</v>
      </c>
      <c r="E4047" s="2" t="s">
        <v>228</v>
      </c>
    </row>
    <row r="4048" spans="1:5" ht="56" x14ac:dyDescent="0.2">
      <c r="A4048" s="2" t="s">
        <v>226</v>
      </c>
      <c r="B4048" s="2" t="str">
        <f>HYPERLINK("https://www.wbfo.org/2024-12-19/who-can-say-its-healthy-the-fda-has-a-new-definition-for-food-labels")</f>
        <v>https://www.wbfo.org/2024-12-19/who-can-say-its-healthy-the-fda-has-a-new-definition-for-food-labels</v>
      </c>
      <c r="C4048" s="2" t="s">
        <v>1453</v>
      </c>
      <c r="D4048" s="3">
        <v>45645.676944444444</v>
      </c>
      <c r="E4048" s="2" t="s">
        <v>228</v>
      </c>
    </row>
    <row r="4049" spans="1:5" ht="56" x14ac:dyDescent="0.2">
      <c r="A4049" s="2" t="s">
        <v>226</v>
      </c>
      <c r="B4049" s="2" t="str">
        <f>HYPERLINK("https://www.aspenpublicradio.org/2024-12-19/who-can-say-its-healthy-the-fda-has-a-new-definition-for-food-labels")</f>
        <v>https://www.aspenpublicradio.org/2024-12-19/who-can-say-its-healthy-the-fda-has-a-new-definition-for-food-labels</v>
      </c>
      <c r="C4049" s="2" t="s">
        <v>1064</v>
      </c>
      <c r="D4049" s="3">
        <v>45645.680185185192</v>
      </c>
      <c r="E4049" s="2" t="s">
        <v>228</v>
      </c>
    </row>
    <row r="4050" spans="1:5" ht="56" x14ac:dyDescent="0.2">
      <c r="A4050" s="2" t="s">
        <v>226</v>
      </c>
      <c r="B4050" s="2" t="str">
        <f>HYPERLINK("https://www.kenw.org/npr-news/2024-12-19/who-can-say-its-healthy-the-fda-has-a-new-definition-for-food-labels")</f>
        <v>https://www.kenw.org/npr-news/2024-12-19/who-can-say-its-healthy-the-fda-has-a-new-definition-for-food-labels</v>
      </c>
      <c r="C4050" s="2" t="s">
        <v>732</v>
      </c>
      <c r="D4050" s="3">
        <v>45645.681006944447</v>
      </c>
      <c r="E4050" s="2" t="s">
        <v>228</v>
      </c>
    </row>
    <row r="4051" spans="1:5" ht="56" x14ac:dyDescent="0.2">
      <c r="A4051" s="2" t="s">
        <v>226</v>
      </c>
      <c r="B4051" s="2" t="str">
        <f>HYPERLINK("https://www.wskg.org/npr-news/2024-12-19/who-can-say-its-healthy-the-fda-has-a-new-definition-for-food-labels")</f>
        <v>https://www.wskg.org/npr-news/2024-12-19/who-can-say-its-healthy-the-fda-has-a-new-definition-for-food-labels</v>
      </c>
      <c r="C4051" s="2" t="s">
        <v>1655</v>
      </c>
      <c r="D4051" s="3">
        <v>45645.681469907409</v>
      </c>
      <c r="E4051" s="2" t="s">
        <v>228</v>
      </c>
    </row>
    <row r="4052" spans="1:5" ht="56" x14ac:dyDescent="0.2">
      <c r="A4052" s="2" t="s">
        <v>226</v>
      </c>
      <c r="B4052" s="2" t="str">
        <f>HYPERLINK("https://www.wgvunews.org/2024-12-19/who-can-say-its-healthy-the-fda-has-a-new-definition-for-food-labels")</f>
        <v>https://www.wgvunews.org/2024-12-19/who-can-say-its-healthy-the-fda-has-a-new-definition-for-food-labels</v>
      </c>
      <c r="C4052" s="2" t="s">
        <v>1048</v>
      </c>
      <c r="D4052" s="3">
        <v>45645.681481481479</v>
      </c>
      <c r="E4052" s="2" t="s">
        <v>228</v>
      </c>
    </row>
    <row r="4053" spans="1:5" ht="56" x14ac:dyDescent="0.2">
      <c r="A4053" s="2" t="s">
        <v>226</v>
      </c>
      <c r="B4053" s="2" t="str">
        <f>HYPERLINK("https://www.wkms.org/npr-news/2024-12-19/who-can-say-its-healthy-the-fda-has-a-new-definition-for-food-labels")</f>
        <v>https://www.wkms.org/npr-news/2024-12-19/who-can-say-its-healthy-the-fda-has-a-new-definition-for-food-labels</v>
      </c>
      <c r="C4053" s="2" t="s">
        <v>1294</v>
      </c>
      <c r="D4053" s="3">
        <v>45645.681631944448</v>
      </c>
      <c r="E4053" s="2" t="s">
        <v>228</v>
      </c>
    </row>
    <row r="4054" spans="1:5" ht="56" x14ac:dyDescent="0.2">
      <c r="A4054" s="2" t="s">
        <v>226</v>
      </c>
      <c r="B4054" s="2" t="str">
        <f>HYPERLINK("https://www.wemu.org/npr-national-news/2024-12-19/who-can-say-its-healthy-the-fda-has-a-new-definition-for-food-labels")</f>
        <v>https://www.wemu.org/npr-national-news/2024-12-19/who-can-say-its-healthy-the-fda-has-a-new-definition-for-food-labels</v>
      </c>
      <c r="C4054" s="2" t="s">
        <v>1395</v>
      </c>
      <c r="D4054" s="3">
        <v>45645.682106481479</v>
      </c>
      <c r="E4054" s="2" t="s">
        <v>228</v>
      </c>
    </row>
    <row r="4055" spans="1:5" ht="56" x14ac:dyDescent="0.2">
      <c r="A4055" s="2" t="s">
        <v>226</v>
      </c>
      <c r="B4055" s="2" t="str">
        <f>HYPERLINK("https://www.wmuk.org/npr-news/2024-12-19/who-can-say-its-healthy-the-fda-has-a-new-definition-for-food-labels")</f>
        <v>https://www.wmuk.org/npr-news/2024-12-19/who-can-say-its-healthy-the-fda-has-a-new-definition-for-food-labels</v>
      </c>
      <c r="C4055" s="2" t="s">
        <v>1175</v>
      </c>
      <c r="D4055" s="3">
        <v>45645.682222222233</v>
      </c>
      <c r="E4055" s="2" t="s">
        <v>228</v>
      </c>
    </row>
    <row r="4056" spans="1:5" ht="56" x14ac:dyDescent="0.2">
      <c r="A4056" s="2" t="s">
        <v>226</v>
      </c>
      <c r="B4056" s="2" t="str">
        <f>HYPERLINK("https://www.hppr.org/2024-12-19/who-can-say-its-healthy-the-fda-has-a-new-definition-for-food-labels")</f>
        <v>https://www.hppr.org/2024-12-19/who-can-say-its-healthy-the-fda-has-a-new-definition-for-food-labels</v>
      </c>
      <c r="C4056" s="2" t="s">
        <v>1117</v>
      </c>
      <c r="D4056" s="3">
        <v>45645.683553240742</v>
      </c>
      <c r="E4056" s="2" t="s">
        <v>228</v>
      </c>
    </row>
    <row r="4057" spans="1:5" ht="56" x14ac:dyDescent="0.2">
      <c r="A4057" s="2" t="s">
        <v>226</v>
      </c>
      <c r="B4057" s="2" t="str">
        <f>HYPERLINK("https://www.waer.org/2024-12-19/who-can-say-its-healthy-the-fda-has-a-new-definition-for-food-labels")</f>
        <v>https://www.waer.org/2024-12-19/who-can-say-its-healthy-the-fda-has-a-new-definition-for-food-labels</v>
      </c>
      <c r="C4057" s="2" t="s">
        <v>1202</v>
      </c>
      <c r="D4057" s="3">
        <v>45645.68482638889</v>
      </c>
      <c r="E4057" s="2" t="s">
        <v>228</v>
      </c>
    </row>
    <row r="4058" spans="1:5" ht="56" x14ac:dyDescent="0.2">
      <c r="A4058" s="2" t="s">
        <v>226</v>
      </c>
      <c r="B4058" s="2" t="str">
        <f>HYPERLINK("https://www.wesa.fm/2024-12-19/who-can-say-its-healthy-the-fda-has-a-new-definition-for-food-labels")</f>
        <v>https://www.wesa.fm/2024-12-19/who-can-say-its-healthy-the-fda-has-a-new-definition-for-food-labels</v>
      </c>
      <c r="C4058" s="2" t="s">
        <v>2424</v>
      </c>
      <c r="D4058" s="3">
        <v>45645.687175925923</v>
      </c>
      <c r="E4058" s="2" t="s">
        <v>228</v>
      </c>
    </row>
    <row r="4059" spans="1:5" ht="70" x14ac:dyDescent="0.2">
      <c r="A4059" s="2" t="s">
        <v>81</v>
      </c>
      <c r="B4059" s="2" t="str">
        <f>HYPERLINK("https://bitebi.com/good-news-the-kroger-albertsons-acquisition-is-not-going-to-happen/")</f>
        <v>https://bitebi.com/good-news-the-kroger-albertsons-acquisition-is-not-going-to-happen/</v>
      </c>
      <c r="C4059" s="2" t="s">
        <v>15</v>
      </c>
      <c r="D4059" s="3">
        <v>45645.690995370373</v>
      </c>
      <c r="E4059" s="2" t="s">
        <v>82</v>
      </c>
    </row>
    <row r="4060" spans="1:5" ht="56" x14ac:dyDescent="0.2">
      <c r="A4060" s="2" t="s">
        <v>226</v>
      </c>
      <c r="B4060" s="2" t="str">
        <f>HYPERLINK("https://www.hawaiipublicradio.org/national-international/2024-12-19/who-can-say-its-healthy-the-fda-has-a-new-definition-for-food-labels")</f>
        <v>https://www.hawaiipublicradio.org/national-international/2024-12-19/who-can-say-its-healthy-the-fda-has-a-new-definition-for-food-labels</v>
      </c>
      <c r="C4060" s="2" t="s">
        <v>2008</v>
      </c>
      <c r="D4060" s="3">
        <v>45645.692962962959</v>
      </c>
      <c r="E4060" s="2" t="s">
        <v>228</v>
      </c>
    </row>
    <row r="4061" spans="1:5" ht="56" x14ac:dyDescent="0.2">
      <c r="A4061" s="2" t="s">
        <v>226</v>
      </c>
      <c r="B4061" s="2" t="str">
        <f>HYPERLINK("https://www.kwit.org/2024-12-19/who-can-say-its-healthy-the-fda-has-a-new-definition-for-food-labels")</f>
        <v>https://www.kwit.org/2024-12-19/who-can-say-its-healthy-the-fda-has-a-new-definition-for-food-labels</v>
      </c>
      <c r="C4061" s="2" t="s">
        <v>902</v>
      </c>
      <c r="D4061" s="3">
        <v>45645.693981481483</v>
      </c>
      <c r="E4061" s="2" t="s">
        <v>228</v>
      </c>
    </row>
    <row r="4062" spans="1:5" ht="56" x14ac:dyDescent="0.2">
      <c r="A4062" s="2" t="s">
        <v>226</v>
      </c>
      <c r="B4062" s="2" t="str">
        <f>HYPERLINK("https://www.wunc.org/2024-12-19/who-can-say-its-healthy-the-fda-has-a-new-definition-for-food-labels")</f>
        <v>https://www.wunc.org/2024-12-19/who-can-say-its-healthy-the-fda-has-a-new-definition-for-food-labels</v>
      </c>
      <c r="C4062" s="2" t="s">
        <v>2297</v>
      </c>
      <c r="D4062" s="3">
        <v>45645.695798611108</v>
      </c>
      <c r="E4062" s="2" t="s">
        <v>228</v>
      </c>
    </row>
    <row r="4063" spans="1:5" ht="56" x14ac:dyDescent="0.2">
      <c r="A4063" s="2" t="s">
        <v>226</v>
      </c>
      <c r="B4063" s="2" t="str">
        <f>HYPERLINK("https://www.kcbx.org/npr-top-news/2024-12-19/who-can-say-its-healthy-the-fda-has-a-new-definition-for-food-labels")</f>
        <v>https://www.kcbx.org/npr-top-news/2024-12-19/who-can-say-its-healthy-the-fda-has-a-new-definition-for-food-labels</v>
      </c>
      <c r="C4063" s="2" t="s">
        <v>1271</v>
      </c>
      <c r="D4063" s="3">
        <v>45645.696574074071</v>
      </c>
      <c r="E4063" s="2" t="s">
        <v>228</v>
      </c>
    </row>
    <row r="4064" spans="1:5" ht="56" x14ac:dyDescent="0.2">
      <c r="A4064" s="2" t="s">
        <v>226</v>
      </c>
      <c r="B4064" s="2" t="str">
        <f>HYPERLINK("https://www.capeandislands.org/2024-12-19/who-can-say-its-healthy-the-fda-has-a-new-definition-for-food-labels")</f>
        <v>https://www.capeandislands.org/2024-12-19/who-can-say-its-healthy-the-fda-has-a-new-definition-for-food-labels</v>
      </c>
      <c r="C4064" s="2" t="s">
        <v>1454</v>
      </c>
      <c r="D4064" s="3">
        <v>45645.696817129632</v>
      </c>
      <c r="E4064" s="2" t="s">
        <v>228</v>
      </c>
    </row>
    <row r="4065" spans="1:5" ht="56" x14ac:dyDescent="0.2">
      <c r="A4065" s="2" t="s">
        <v>226</v>
      </c>
      <c r="B4065" s="2" t="str">
        <f>HYPERLINK("https://www.kmuw.org/2024-12-19/who-can-say-its-healthy-the-fda-has-a-new-definition-for-food-labels")</f>
        <v>https://www.kmuw.org/2024-12-19/who-can-say-its-healthy-the-fda-has-a-new-definition-for-food-labels</v>
      </c>
      <c r="C4065" s="2" t="s">
        <v>1488</v>
      </c>
      <c r="D4065" s="3">
        <v>45645.697314814817</v>
      </c>
      <c r="E4065" s="2" t="s">
        <v>228</v>
      </c>
    </row>
    <row r="4066" spans="1:5" ht="56" x14ac:dyDescent="0.2">
      <c r="A4066" s="2" t="s">
        <v>226</v>
      </c>
      <c r="B4066" s="2" t="str">
        <f>HYPERLINK("https://www.southcarolinapublicradio.org/2024-12-19/who-can-say-its-healthy-the-fda-has-a-new-definition-for-food-labels")</f>
        <v>https://www.southcarolinapublicradio.org/2024-12-19/who-can-say-its-healthy-the-fda-has-a-new-definition-for-food-labels</v>
      </c>
      <c r="C4066" s="2" t="s">
        <v>1747</v>
      </c>
      <c r="D4066" s="3">
        <v>45645.697314814817</v>
      </c>
      <c r="E4066" s="2" t="s">
        <v>228</v>
      </c>
    </row>
    <row r="4067" spans="1:5" ht="56" x14ac:dyDescent="0.2">
      <c r="A4067" s="2" t="s">
        <v>226</v>
      </c>
      <c r="B4067" s="2" t="str">
        <f>HYPERLINK("https://www.ksfr.org/npr-news/2024-12-19/who-can-say-its-healthy-the-fda-has-a-new-definition-for-food-labels")</f>
        <v>https://www.ksfr.org/npr-news/2024-12-19/who-can-say-its-healthy-the-fda-has-a-new-definition-for-food-labels</v>
      </c>
      <c r="C4067" s="2" t="s">
        <v>1103</v>
      </c>
      <c r="D4067" s="3">
        <v>45645.697824074072</v>
      </c>
      <c r="E4067" s="2" t="s">
        <v>228</v>
      </c>
    </row>
    <row r="4068" spans="1:5" ht="56" x14ac:dyDescent="0.2">
      <c r="A4068" s="2" t="s">
        <v>226</v>
      </c>
      <c r="B4068" s="2" t="str">
        <f>HYPERLINK("https://www.wuky.org/npr-news/2024-12-19/who-can-say-its-healthy-the-fda-has-a-new-definition-for-food-labels")</f>
        <v>https://www.wuky.org/npr-news/2024-12-19/who-can-say-its-healthy-the-fda-has-a-new-definition-for-food-labels</v>
      </c>
      <c r="C4068" s="2" t="s">
        <v>1364</v>
      </c>
      <c r="D4068" s="3">
        <v>45645.697939814818</v>
      </c>
      <c r="E4068" s="2" t="s">
        <v>228</v>
      </c>
    </row>
    <row r="4069" spans="1:5" ht="56" x14ac:dyDescent="0.2">
      <c r="A4069" s="2" t="s">
        <v>226</v>
      </c>
      <c r="B4069" s="2" t="str">
        <f>HYPERLINK("https://www.wuot.org/2024-12-19/who-can-say-its-healthy-the-fda-has-a-new-definition-for-food-labels")</f>
        <v>https://www.wuot.org/2024-12-19/who-can-say-its-healthy-the-fda-has-a-new-definition-for-food-labels</v>
      </c>
      <c r="C4069" s="2" t="s">
        <v>941</v>
      </c>
      <c r="D4069" s="3">
        <v>45645.69935185185</v>
      </c>
      <c r="E4069" s="2" t="s">
        <v>228</v>
      </c>
    </row>
    <row r="4070" spans="1:5" ht="56" x14ac:dyDescent="0.2">
      <c r="A4070" s="2" t="s">
        <v>226</v>
      </c>
      <c r="B4070" s="2" t="str">
        <f>HYPERLINK("https://www.mainepublic.org/npr-news/2024-12-19/who-can-say-its-healthy-the-fda-has-a-new-definition-for-food-labels")</f>
        <v>https://www.mainepublic.org/npr-news/2024-12-19/who-can-say-its-healthy-the-fda-has-a-new-definition-for-food-labels</v>
      </c>
      <c r="C4070" s="2" t="s">
        <v>2282</v>
      </c>
      <c r="D4070" s="3">
        <v>45645.699745370373</v>
      </c>
      <c r="E4070" s="2" t="s">
        <v>228</v>
      </c>
    </row>
    <row r="4071" spans="1:5" ht="56" x14ac:dyDescent="0.2">
      <c r="A4071" s="2" t="s">
        <v>226</v>
      </c>
      <c r="B4071" s="2" t="str">
        <f>HYPERLINK("https://www.knkx.org/2024-12-19/who-can-say-its-healthy-the-fda-has-a-new-definition-for-food-labels")</f>
        <v>https://www.knkx.org/2024-12-19/who-can-say-its-healthy-the-fda-has-a-new-definition-for-food-labels</v>
      </c>
      <c r="C4071" s="2" t="s">
        <v>1881</v>
      </c>
      <c r="D4071" s="3">
        <v>45645.700057870366</v>
      </c>
      <c r="E4071" s="2" t="s">
        <v>228</v>
      </c>
    </row>
    <row r="4072" spans="1:5" ht="56" x14ac:dyDescent="0.2">
      <c r="A4072" s="2" t="s">
        <v>226</v>
      </c>
      <c r="B4072" s="2" t="str">
        <f>HYPERLINK("https://www.wncw.org/2024-12-19/who-can-say-its-healthy-the-fda-has-a-new-definition-for-food-labels")</f>
        <v>https://www.wncw.org/2024-12-19/who-can-say-its-healthy-the-fda-has-a-new-definition-for-food-labels</v>
      </c>
      <c r="C4072" s="2" t="s">
        <v>1017</v>
      </c>
      <c r="D4072" s="3">
        <v>45645.700243055559</v>
      </c>
      <c r="E4072" s="2" t="s">
        <v>228</v>
      </c>
    </row>
    <row r="4073" spans="1:5" ht="56" x14ac:dyDescent="0.2">
      <c r="A4073" s="2" t="s">
        <v>226</v>
      </c>
      <c r="B4073" s="2" t="str">
        <f>HYPERLINK("https://www.kvpr.org/npr-news/2024-12-19/who-can-say-its-healthy-the-fda-has-a-new-definition-for-food-labels")</f>
        <v>https://www.kvpr.org/npr-news/2024-12-19/who-can-say-its-healthy-the-fda-has-a-new-definition-for-food-labels</v>
      </c>
      <c r="C4073" s="2" t="s">
        <v>1253</v>
      </c>
      <c r="D4073" s="3">
        <v>45645.701111111113</v>
      </c>
      <c r="E4073" s="2" t="s">
        <v>228</v>
      </c>
    </row>
    <row r="4074" spans="1:5" ht="56" x14ac:dyDescent="0.2">
      <c r="A4074" s="2" t="s">
        <v>226</v>
      </c>
      <c r="B4074" s="2" t="str">
        <f>HYPERLINK("https://www.kawc.org/npr-news/2024-12-19/who-can-say-its-healthy-the-fda-has-a-new-definition-for-food-labels")</f>
        <v>https://www.kawc.org/npr-news/2024-12-19/who-can-say-its-healthy-the-fda-has-a-new-definition-for-food-labels</v>
      </c>
      <c r="C4074" s="2" t="s">
        <v>1459</v>
      </c>
      <c r="D4074" s="3">
        <v>45645.702037037037</v>
      </c>
      <c r="E4074" s="2" t="s">
        <v>228</v>
      </c>
    </row>
    <row r="4075" spans="1:5" ht="56" x14ac:dyDescent="0.2">
      <c r="A4075" s="2" t="s">
        <v>226</v>
      </c>
      <c r="B4075" s="2" t="str">
        <f>HYPERLINK("https://www.boisestatepublicradio.org/2024-12-19/who-can-say-its-healthy-the-fda-has-a-new-definition-for-food-labels")</f>
        <v>https://www.boisestatepublicradio.org/2024-12-19/who-can-say-its-healthy-the-fda-has-a-new-definition-for-food-labels</v>
      </c>
      <c r="C4075" s="2" t="s">
        <v>1780</v>
      </c>
      <c r="D4075" s="3">
        <v>45645.702372685177</v>
      </c>
      <c r="E4075" s="2" t="s">
        <v>228</v>
      </c>
    </row>
    <row r="4076" spans="1:5" ht="70" x14ac:dyDescent="0.2">
      <c r="A4076" s="2" t="s">
        <v>858</v>
      </c>
      <c r="B4076" s="2" t="str">
        <f>HYPERLINK("https://www.infobae.com/estados-unidos/2024/12/20/etiquetas-mas-estrictas-en-eeuu-la-fda-impulsa-cambios-para-definir-alimentos-saludables/")</f>
        <v>https://www.infobae.com/estados-unidos/2024/12/20/etiquetas-mas-estrictas-en-eeuu-la-fda-impulsa-cambios-para-definir-alimentos-saludables/</v>
      </c>
      <c r="C4076" s="2" t="s">
        <v>3689</v>
      </c>
      <c r="D4076" s="3">
        <v>45645.704745370371</v>
      </c>
      <c r="E4076" s="2" t="s">
        <v>3690</v>
      </c>
    </row>
    <row r="4077" spans="1:5" ht="56" x14ac:dyDescent="0.2">
      <c r="A4077" s="2" t="s">
        <v>226</v>
      </c>
      <c r="B4077" s="2" t="str">
        <f>HYPERLINK("https://www.wfae.org/2024-12-19/who-can-say-its-healthy-the-fda-has-a-new-definition-for-food-labels")</f>
        <v>https://www.wfae.org/2024-12-19/who-can-say-its-healthy-the-fda-has-a-new-definition-for-food-labels</v>
      </c>
      <c r="C4077" s="2" t="s">
        <v>2117</v>
      </c>
      <c r="D4077" s="3">
        <v>45645.708136574067</v>
      </c>
      <c r="E4077" s="2" t="s">
        <v>228</v>
      </c>
    </row>
    <row r="4078" spans="1:5" ht="56" x14ac:dyDescent="0.2">
      <c r="A4078" s="2" t="s">
        <v>226</v>
      </c>
      <c r="B4078" s="2" t="str">
        <f>HYPERLINK("https://www.wyso.org/npr-news/2024-12-19/who-can-say-its-healthy-the-fda-has-a-new-definition-for-food-labels")</f>
        <v>https://www.wyso.org/npr-news/2024-12-19/who-can-say-its-healthy-the-fda-has-a-new-definition-for-food-labels</v>
      </c>
      <c r="C4078" s="2" t="s">
        <v>1639</v>
      </c>
      <c r="D4078" s="3">
        <v>45645.709583333337</v>
      </c>
      <c r="E4078" s="2" t="s">
        <v>228</v>
      </c>
    </row>
    <row r="4079" spans="1:5" ht="56" x14ac:dyDescent="0.2">
      <c r="A4079" s="2" t="s">
        <v>226</v>
      </c>
      <c r="B4079" s="2" t="str">
        <f>HYPERLINK("https://www.michiganpublic.org/2024-12-19/who-can-say-its-healthy-the-fda-has-a-new-definition-for-food-labels")</f>
        <v>https://www.michiganpublic.org/2024-12-19/who-can-say-its-healthy-the-fda-has-a-new-definition-for-food-labels</v>
      </c>
      <c r="C4079" s="2" t="s">
        <v>2146</v>
      </c>
      <c r="D4079" s="3">
        <v>45645.709849537037</v>
      </c>
      <c r="E4079" s="2" t="s">
        <v>228</v>
      </c>
    </row>
    <row r="4080" spans="1:5" ht="56" x14ac:dyDescent="0.2">
      <c r="A4080" s="2" t="s">
        <v>226</v>
      </c>
      <c r="B4080" s="2" t="str">
        <f>HYPERLINK("https://www.whqr.org/2024-12-19/who-can-say-its-healthy-the-fda-has-a-new-definition-for-food-labels")</f>
        <v>https://www.whqr.org/2024-12-19/who-can-say-its-healthy-the-fda-has-a-new-definition-for-food-labels</v>
      </c>
      <c r="C4080" s="2" t="s">
        <v>1366</v>
      </c>
      <c r="D4080" s="3">
        <v>45645.710081018522</v>
      </c>
      <c r="E4080" s="2" t="s">
        <v>228</v>
      </c>
    </row>
    <row r="4081" spans="1:5" ht="56" x14ac:dyDescent="0.2">
      <c r="A4081" s="2" t="s">
        <v>226</v>
      </c>
      <c r="B4081" s="2" t="str">
        <f>HYPERLINK("https://www.marfapublicradio.org/2024-12-19/who-can-say-its-healthy-the-fda-has-a-new-definition-for-food-labels")</f>
        <v>https://www.marfapublicradio.org/2024-12-19/who-can-say-its-healthy-the-fda-has-a-new-definition-for-food-labels</v>
      </c>
      <c r="C4081" s="2" t="s">
        <v>1148</v>
      </c>
      <c r="D4081" s="3">
        <v>45645.710196759261</v>
      </c>
      <c r="E4081" s="2" t="s">
        <v>228</v>
      </c>
    </row>
    <row r="4082" spans="1:5" ht="56" x14ac:dyDescent="0.2">
      <c r="A4082" s="2" t="s">
        <v>226</v>
      </c>
      <c r="B4082" s="2" t="str">
        <f>HYPERLINK("https://www.wrkf.org/2024-12-19/who-can-say-its-healthy-the-fda-has-a-new-definition-for-food-labels")</f>
        <v>https://www.wrkf.org/2024-12-19/who-can-say-its-healthy-the-fda-has-a-new-definition-for-food-labels</v>
      </c>
      <c r="C4082" s="2" t="s">
        <v>954</v>
      </c>
      <c r="D4082" s="3">
        <v>45645.710381944453</v>
      </c>
      <c r="E4082" s="2" t="s">
        <v>228</v>
      </c>
    </row>
    <row r="4083" spans="1:5" ht="56" x14ac:dyDescent="0.2">
      <c r="A4083" s="2" t="s">
        <v>226</v>
      </c>
      <c r="B4083" s="2" t="str">
        <f>HYPERLINK("https://www.wmot.org/2024-12-19/who-can-say-its-healthy-the-fda-has-a-new-definition-for-food-labels")</f>
        <v>https://www.wmot.org/2024-12-19/who-can-say-its-healthy-the-fda-has-a-new-definition-for-food-labels</v>
      </c>
      <c r="C4083" s="2" t="s">
        <v>1268</v>
      </c>
      <c r="D4083" s="3">
        <v>45645.710428240738</v>
      </c>
      <c r="E4083" s="2" t="s">
        <v>228</v>
      </c>
    </row>
    <row r="4084" spans="1:5" ht="56" x14ac:dyDescent="0.2">
      <c r="A4084" s="2" t="s">
        <v>226</v>
      </c>
      <c r="B4084" s="2" t="str">
        <f>HYPERLINK("https://www.opb.org/article/2024/12/19/the-fda-has-redefined-what-counts-as-healthy-on-food-labels/")</f>
        <v>https://www.opb.org/article/2024/12/19/the-fda-has-redefined-what-counts-as-healthy-on-food-labels/</v>
      </c>
      <c r="C4084" s="2" t="s">
        <v>2855</v>
      </c>
      <c r="D4084" s="3">
        <v>45645.720231481479</v>
      </c>
      <c r="E4084" s="2" t="s">
        <v>228</v>
      </c>
    </row>
    <row r="4085" spans="1:5" ht="56" x14ac:dyDescent="0.2">
      <c r="A4085" s="2" t="s">
        <v>226</v>
      </c>
      <c r="B4085" s="2" t="str">
        <f>HYPERLINK("https://www.kalw.org/npr-news/2024-12-19/who-can-say-its-healthy-the-fda-has-a-new-definition-for-food-labels")</f>
        <v>https://www.kalw.org/npr-news/2024-12-19/who-can-say-its-healthy-the-fda-has-a-new-definition-for-food-labels</v>
      </c>
      <c r="C4085" s="2" t="s">
        <v>1689</v>
      </c>
      <c r="D4085" s="3">
        <v>45645.722372685188</v>
      </c>
      <c r="E4085" s="2" t="s">
        <v>228</v>
      </c>
    </row>
    <row r="4086" spans="1:5" ht="56" x14ac:dyDescent="0.2">
      <c r="A4086" s="2" t="s">
        <v>226</v>
      </c>
      <c r="B4086" s="2" t="str">
        <f>HYPERLINK("https://www.kanw.com/npr-news/2024-12-19/who-can-say-its-healthy-the-fda-has-a-new-definition-for-food-labels")</f>
        <v>https://www.kanw.com/npr-news/2024-12-19/who-can-say-its-healthy-the-fda-has-a-new-definition-for-food-labels</v>
      </c>
      <c r="C4086" s="2" t="s">
        <v>942</v>
      </c>
      <c r="D4086" s="3">
        <v>45645.722939814812</v>
      </c>
      <c r="E4086" s="2" t="s">
        <v>228</v>
      </c>
    </row>
    <row r="4087" spans="1:5" ht="56" x14ac:dyDescent="0.2">
      <c r="A4087" s="2" t="s">
        <v>226</v>
      </c>
      <c r="B4087" s="2" t="str">
        <f>HYPERLINK("https://www.kbia.org/2024-12-19/who-can-say-its-healthy-the-fda-has-a-new-definition-for-food-labels")</f>
        <v>https://www.kbia.org/2024-12-19/who-can-say-its-healthy-the-fda-has-a-new-definition-for-food-labels</v>
      </c>
      <c r="C4087" s="2" t="s">
        <v>1239</v>
      </c>
      <c r="D4087" s="3">
        <v>45645.744328703702</v>
      </c>
      <c r="E4087" s="2" t="s">
        <v>228</v>
      </c>
    </row>
    <row r="4088" spans="1:5" ht="56" x14ac:dyDescent="0.2">
      <c r="A4088" s="2" t="s">
        <v>226</v>
      </c>
      <c r="B4088" s="2" t="str">
        <f>HYPERLINK("https://www.ijpr.org/npr-news/2024-12-19/who-can-say-its-healthy-the-fda-has-a-new-definition-for-food-labels")</f>
        <v>https://www.ijpr.org/npr-news/2024-12-19/who-can-say-its-healthy-the-fda-has-a-new-definition-for-food-labels</v>
      </c>
      <c r="C4088" s="2" t="s">
        <v>1675</v>
      </c>
      <c r="D4088" s="3">
        <v>45645.744456018518</v>
      </c>
      <c r="E4088" s="2" t="s">
        <v>228</v>
      </c>
    </row>
    <row r="4089" spans="1:5" ht="42" x14ac:dyDescent="0.2">
      <c r="A4089" s="2" t="s">
        <v>2874</v>
      </c>
      <c r="B4089" s="2" t="str">
        <f>HYPERLINK("https://www.yahoo.com/news/foods-considered-healthy-fda-issues-230051648.html")</f>
        <v>https://www.yahoo.com/news/foods-considered-healthy-fda-issues-230051648.html</v>
      </c>
      <c r="C4089" s="2" t="s">
        <v>3728</v>
      </c>
      <c r="D4089" s="3">
        <v>45645.753958333327</v>
      </c>
      <c r="E4089" s="2" t="s">
        <v>2875</v>
      </c>
    </row>
    <row r="4090" spans="1:5" ht="42" x14ac:dyDescent="0.2">
      <c r="A4090" s="2" t="s">
        <v>2874</v>
      </c>
      <c r="B4090" s="2" t="str">
        <f>HYPERLINK("https://ca.news.yahoo.com/foods-considered-healthy-fda-issues-230051648.html")</f>
        <v>https://ca.news.yahoo.com/foods-considered-healthy-fda-issues-230051648.html</v>
      </c>
      <c r="C4090" s="2" t="s">
        <v>3097</v>
      </c>
      <c r="D4090" s="3">
        <v>45645.757534722223</v>
      </c>
      <c r="E4090" s="2" t="s">
        <v>2875</v>
      </c>
    </row>
    <row r="4091" spans="1:5" ht="70" x14ac:dyDescent="0.2">
      <c r="A4091" s="2" t="s">
        <v>616</v>
      </c>
      <c r="B4091" s="2" t="str">
        <f>HYPERLINK("https://www.worldlibertytv.org/the-new-york-produce-show-and-conference-2024/")</f>
        <v>https://www.worldlibertytv.org/the-new-york-produce-show-and-conference-2024/</v>
      </c>
      <c r="C4091" s="2" t="s">
        <v>617</v>
      </c>
      <c r="D4091" s="3">
        <v>45645.779768518521</v>
      </c>
      <c r="E4091" s="2" t="s">
        <v>618</v>
      </c>
    </row>
    <row r="4092" spans="1:5" ht="70" x14ac:dyDescent="0.2">
      <c r="A4092" s="2" t="s">
        <v>310</v>
      </c>
      <c r="B4092" s="2" t="str">
        <f>HYPERLINK("https://germanic.news/die-fda-hat-neu-definiert-was-auf-lebensmitteletiketten-als-gesund-gilt-shots/")</f>
        <v>https://germanic.news/die-fda-hat-neu-definiert-was-auf-lebensmitteletiketten-als-gesund-gilt-shots/</v>
      </c>
      <c r="C4092" s="2" t="s">
        <v>243</v>
      </c>
      <c r="D4092" s="3">
        <v>45645.783321759263</v>
      </c>
      <c r="E4092" s="2" t="s">
        <v>311</v>
      </c>
    </row>
    <row r="4093" spans="1:5" ht="70" x14ac:dyDescent="0.2">
      <c r="A4093" s="2" t="s">
        <v>664</v>
      </c>
      <c r="B4093" s="2" t="str">
        <f>HYPERLINK("https://www.hechoencalifornia1010.com/con-estos-dos-simples-cambios-en-la-alimentacion-los-estadounidenses-pueden-tener-una-vida-mas-larga-y-saludable/")</f>
        <v>https://www.hechoencalifornia1010.com/con-estos-dos-simples-cambios-en-la-alimentacion-los-estadounidenses-pueden-tener-una-vida-mas-larga-y-saludable/</v>
      </c>
      <c r="C4093" s="2" t="s">
        <v>658</v>
      </c>
      <c r="D4093" s="3">
        <v>45645.785671296297</v>
      </c>
      <c r="E4093" s="2" t="s">
        <v>665</v>
      </c>
    </row>
    <row r="4094" spans="1:5" ht="56" x14ac:dyDescent="0.2">
      <c r="A4094" s="2" t="s">
        <v>858</v>
      </c>
      <c r="B4094" s="2" t="str">
        <f>HYPERLINK("https://chacoprensa.com/2024/12/20/etiquetas-mas-estrictas-en-eeuu-la-fda-impulsa-cambios-para-definir-alimentos-saludables/")</f>
        <v>https://chacoprensa.com/2024/12/20/etiquetas-mas-estrictas-en-eeuu-la-fda-impulsa-cambios-para-definir-alimentos-saludables/</v>
      </c>
      <c r="C4094" s="2" t="s">
        <v>948</v>
      </c>
      <c r="D4094" s="3">
        <v>45645.791666666657</v>
      </c>
      <c r="E4094" s="2" t="s">
        <v>860</v>
      </c>
    </row>
    <row r="4095" spans="1:5" ht="70" x14ac:dyDescent="0.2">
      <c r="A4095" s="2" t="s">
        <v>1142</v>
      </c>
      <c r="B4095" s="2" t="str">
        <f>HYPERLINK("https://www.monitorlocalnews.com/czy-to-zdrowe")</f>
        <v>https://www.monitorlocalnews.com/czy-to-zdrowe</v>
      </c>
      <c r="C4095" s="2" t="s">
        <v>1143</v>
      </c>
      <c r="D4095" s="3">
        <v>45645.791666666657</v>
      </c>
      <c r="E4095" s="2" t="s">
        <v>1144</v>
      </c>
    </row>
    <row r="4096" spans="1:5" ht="42" x14ac:dyDescent="0.2">
      <c r="A4096" s="2" t="s">
        <v>1920</v>
      </c>
      <c r="B4096" s="2" t="str">
        <f>HYPERLINK("https://bismarcktribune.com/more-beans-less-red-meat/article_c2de3bec-bf17-11ef-8854-076fcdbab066.html")</f>
        <v>https://bismarcktribune.com/more-beans-less-red-meat/article_c2de3bec-bf17-11ef-8854-076fcdbab066.html</v>
      </c>
      <c r="C4096" s="2" t="s">
        <v>1919</v>
      </c>
      <c r="D4096" s="3">
        <v>45645.791666666657</v>
      </c>
      <c r="E4096" s="2" t="s">
        <v>38</v>
      </c>
    </row>
    <row r="4097" spans="1:5" ht="70" x14ac:dyDescent="0.2">
      <c r="A4097" s="2" t="s">
        <v>3773</v>
      </c>
      <c r="B4097" s="2" t="str">
        <f>HYPERLINK("https://corrientesinfo.ar/2024/12/20/engano-a-una-viuda-la-convencio-de-que-tenia-demencia-y-la-estafo-en-miles-de-dolares-para-comprarse-una-camioneta/")</f>
        <v>https://corrientesinfo.ar/2024/12/20/engano-a-una-viuda-la-convencio-de-que-tenia-demencia-y-la-estafo-en-miles-de-dolares-para-comprarse-una-camioneta/</v>
      </c>
      <c r="C4097" s="2" t="s">
        <v>3774</v>
      </c>
      <c r="D4097" s="3">
        <v>45645.791666666657</v>
      </c>
      <c r="E4097" s="2" t="s">
        <v>860</v>
      </c>
    </row>
    <row r="4098" spans="1:5" ht="56" x14ac:dyDescent="0.2">
      <c r="A4098" s="2" t="s">
        <v>3984</v>
      </c>
      <c r="B4098" s="2" t="str">
        <f>HYPERLINK("https://corrientesinfo.ar/2024/12/20/la-sangrienta-historia-de-thomas-pitera-el-implacable-mafioso-de-la-familia-bonanno/")</f>
        <v>https://corrientesinfo.ar/2024/12/20/la-sangrienta-historia-de-thomas-pitera-el-implacable-mafioso-de-la-familia-bonanno/</v>
      </c>
      <c r="C4098" s="2" t="s">
        <v>3774</v>
      </c>
      <c r="D4098" s="3">
        <v>45645.791666666657</v>
      </c>
      <c r="E4098" s="2" t="s">
        <v>860</v>
      </c>
    </row>
    <row r="4099" spans="1:5" ht="56" x14ac:dyDescent="0.2">
      <c r="A4099" s="2" t="s">
        <v>2987</v>
      </c>
      <c r="B4099" s="2" t="str">
        <f>HYPERLINK("https://laist.com/brief/npr-news/fda-new-definition-food-labels")</f>
        <v>https://laist.com/brief/npr-news/fda-new-definition-food-labels</v>
      </c>
      <c r="C4099" s="2" t="s">
        <v>2988</v>
      </c>
      <c r="D4099" s="3">
        <v>45646.083333333343</v>
      </c>
      <c r="E4099" s="2" t="s">
        <v>228</v>
      </c>
    </row>
    <row r="4100" spans="1:5" ht="112" x14ac:dyDescent="0.2">
      <c r="A4100" s="2" t="s">
        <v>2064</v>
      </c>
      <c r="B4100" s="2" t="str">
        <f>HYPERLINK("https://es.theepochtimes.com/news/lucha-por-comida-rfk-jr-podra-cambiar-dieta-estados-unidos-1324592.html")</f>
        <v>https://es.theepochtimes.com/news/lucha-por-comida-rfk-jr-podra-cambiar-dieta-estados-unidos-1324592.html</v>
      </c>
      <c r="C4100" s="2" t="s">
        <v>2065</v>
      </c>
      <c r="D4100" s="3">
        <v>45646.145833333343</v>
      </c>
      <c r="E4100" s="2" t="s">
        <v>2066</v>
      </c>
    </row>
    <row r="4101" spans="1:5" ht="56" x14ac:dyDescent="0.2">
      <c r="A4101" s="2" t="s">
        <v>348</v>
      </c>
      <c r="B4101" s="2" t="str">
        <f>HYPERLINK("https://wdctv.news/the-fda-has-redefined-what-counts-as-healthy-on-food-labels-shots/")</f>
        <v>https://wdctv.news/the-fda-has-redefined-what-counts-as-healthy-on-food-labels-shots/</v>
      </c>
      <c r="C4101" s="2" t="s">
        <v>346</v>
      </c>
      <c r="D4101" s="3">
        <v>45646.169594907413</v>
      </c>
      <c r="E4101" s="2" t="s">
        <v>228</v>
      </c>
    </row>
    <row r="4102" spans="1:5" ht="56" x14ac:dyDescent="0.2">
      <c r="A4102" s="2" t="s">
        <v>858</v>
      </c>
      <c r="B4102" s="2" t="str">
        <f>HYPERLINK("https://radioclanfm.com/2024/12/20/etiquetas-mas-estrictas-en-eeuu-la-fda-impulsa-cambios-para-definir-alimentos-saludables/")</f>
        <v>https://radioclanfm.com/2024/12/20/etiquetas-mas-estrictas-en-eeuu-la-fda-impulsa-cambios-para-definir-alimentos-saludables/</v>
      </c>
      <c r="C4102" s="2" t="s">
        <v>859</v>
      </c>
      <c r="D4102" s="3">
        <v>45646.219375000001</v>
      </c>
      <c r="E4102" s="2" t="s">
        <v>860</v>
      </c>
    </row>
    <row r="4103" spans="1:5" ht="56" x14ac:dyDescent="0.2">
      <c r="A4103" s="2" t="s">
        <v>226</v>
      </c>
      <c r="B4103" s="2" t="str">
        <f>HYPERLINK("https://radio.kttz.org/2024-12-19/who-can-say-its-healthy-the-fda-has-a-new-definition-for-food-labels")</f>
        <v>https://radio.kttz.org/2024-12-19/who-can-say-its-healthy-the-fda-has-a-new-definition-for-food-labels</v>
      </c>
      <c r="C4103" s="2" t="s">
        <v>227</v>
      </c>
      <c r="D4103" s="3">
        <v>45646.230405092603</v>
      </c>
      <c r="E4103" s="2" t="s">
        <v>228</v>
      </c>
    </row>
    <row r="4104" spans="1:5" ht="56" x14ac:dyDescent="0.2">
      <c r="A4104" s="2" t="s">
        <v>226</v>
      </c>
      <c r="B4104" s="2" t="str">
        <f>HYPERLINK("https://www.nepm.org/2024-12-19/who-can-say-its-healthy-the-fda-has-a-new-definition-for-food-labels")</f>
        <v>https://www.nepm.org/2024-12-19/who-can-say-its-healthy-the-fda-has-a-new-definition-for-food-labels</v>
      </c>
      <c r="C4104" s="2" t="s">
        <v>1654</v>
      </c>
      <c r="D4104" s="3">
        <v>45646.234803240739</v>
      </c>
      <c r="E4104" s="2" t="s">
        <v>228</v>
      </c>
    </row>
    <row r="4105" spans="1:5" ht="56" x14ac:dyDescent="0.2">
      <c r="A4105" s="2" t="s">
        <v>226</v>
      </c>
      <c r="B4105" s="2" t="str">
        <f>HYPERLINK("https://www.kucb.org/2024-12-19/who-can-say-its-healthy-the-fda-has-a-new-definition-for-food-labels")</f>
        <v>https://www.kucb.org/2024-12-19/who-can-say-its-healthy-the-fda-has-a-new-definition-for-food-labels</v>
      </c>
      <c r="C4105" s="2" t="s">
        <v>1209</v>
      </c>
      <c r="D4105" s="3">
        <v>45646.241956018523</v>
      </c>
      <c r="E4105" s="2" t="s">
        <v>228</v>
      </c>
    </row>
    <row r="4106" spans="1:5" ht="56" x14ac:dyDescent="0.2">
      <c r="A4106" s="2" t="s">
        <v>226</v>
      </c>
      <c r="B4106" s="2" t="str">
        <f>HYPERLINK("https://www.wjsu.org/2024-12-19/who-can-say-its-healthy-the-fda-has-a-new-definition-for-food-labels")</f>
        <v>https://www.wjsu.org/2024-12-19/who-can-say-its-healthy-the-fda-has-a-new-definition-for-food-labels</v>
      </c>
      <c r="C4106" s="2" t="s">
        <v>522</v>
      </c>
      <c r="D4106" s="3">
        <v>45646.242222222223</v>
      </c>
      <c r="E4106" s="2" t="s">
        <v>228</v>
      </c>
    </row>
    <row r="4107" spans="1:5" ht="56" x14ac:dyDescent="0.2">
      <c r="A4107" s="2" t="s">
        <v>226</v>
      </c>
      <c r="B4107" s="2" t="str">
        <f>HYPERLINK("https://www.wkar.org/2024-12-19/who-can-say-its-healthy-the-fda-has-a-new-definition-for-food-labels")</f>
        <v>https://www.wkar.org/2024-12-19/who-can-say-its-healthy-the-fda-has-a-new-definition-for-food-labels</v>
      </c>
      <c r="C4107" s="2" t="s">
        <v>1563</v>
      </c>
      <c r="D4107" s="3">
        <v>45646.249062499999</v>
      </c>
      <c r="E4107" s="2" t="s">
        <v>228</v>
      </c>
    </row>
    <row r="4108" spans="1:5" ht="56" x14ac:dyDescent="0.2">
      <c r="A4108" s="2" t="s">
        <v>226</v>
      </c>
      <c r="B4108" s="2" t="str">
        <f>HYPERLINK("https://www.wqcs.org/2024-12-19/who-can-say-its-healthy-the-fda-has-a-new-definition-for-food-labels")</f>
        <v>https://www.wqcs.org/2024-12-19/who-can-say-its-healthy-the-fda-has-a-new-definition-for-food-labels</v>
      </c>
      <c r="C4108" s="2" t="s">
        <v>1286</v>
      </c>
      <c r="D4108" s="3">
        <v>45646.261701388888</v>
      </c>
      <c r="E4108" s="2" t="s">
        <v>228</v>
      </c>
    </row>
    <row r="4109" spans="1:5" ht="56" x14ac:dyDescent="0.2">
      <c r="A4109" s="2" t="s">
        <v>226</v>
      </c>
      <c r="B4109" s="2" t="str">
        <f>HYPERLINK("https://www.ksjd.org/2024-12-19/who-can-say-its-healthy-the-fda-has-a-new-definition-for-food-labels")</f>
        <v>https://www.ksjd.org/2024-12-19/who-can-say-its-healthy-the-fda-has-a-new-definition-for-food-labels</v>
      </c>
      <c r="C4109" s="2" t="s">
        <v>976</v>
      </c>
      <c r="D4109" s="3">
        <v>45646.262152777781</v>
      </c>
      <c r="E4109" s="2" t="s">
        <v>228</v>
      </c>
    </row>
    <row r="4110" spans="1:5" ht="56" x14ac:dyDescent="0.2">
      <c r="A4110" s="2" t="s">
        <v>226</v>
      </c>
      <c r="B4110" s="2" t="str">
        <f>HYPERLINK("https://www.publicradioeast.org/2024-12-19/who-can-say-its-healthy-the-fda-has-a-new-definition-for-food-labels")</f>
        <v>https://www.publicradioeast.org/2024-12-19/who-can-say-its-healthy-the-fda-has-a-new-definition-for-food-labels</v>
      </c>
      <c r="C4110" s="2" t="s">
        <v>1149</v>
      </c>
      <c r="D4110" s="3">
        <v>45646.268483796302</v>
      </c>
      <c r="E4110" s="2" t="s">
        <v>228</v>
      </c>
    </row>
    <row r="4111" spans="1:5" ht="56" x14ac:dyDescent="0.2">
      <c r="A4111" s="2" t="s">
        <v>226</v>
      </c>
      <c r="B4111" s="2" t="str">
        <f>HYPERLINK("https://www.tpr.org/2024-12-19/who-can-say-its-healthy-the-fda-has-a-new-definition-for-food-labels")</f>
        <v>https://www.tpr.org/2024-12-19/who-can-say-its-healthy-the-fda-has-a-new-definition-for-food-labels</v>
      </c>
      <c r="C4111" s="2" t="s">
        <v>2364</v>
      </c>
      <c r="D4111" s="3">
        <v>45646.278333333343</v>
      </c>
      <c r="E4111" s="2" t="s">
        <v>228</v>
      </c>
    </row>
    <row r="4112" spans="1:5" ht="56" x14ac:dyDescent="0.2">
      <c r="A4112" s="2" t="s">
        <v>226</v>
      </c>
      <c r="B4112" s="2" t="str">
        <f>HYPERLINK("https://www.redriverradio.org/2024-12-19/who-can-say-its-healthy-the-fda-has-a-new-definition-for-food-labels")</f>
        <v>https://www.redriverradio.org/2024-12-19/who-can-say-its-healthy-the-fda-has-a-new-definition-for-food-labels</v>
      </c>
      <c r="C4112" s="2" t="s">
        <v>950</v>
      </c>
      <c r="D4112" s="3">
        <v>45646.278495370367</v>
      </c>
      <c r="E4112" s="2" t="s">
        <v>228</v>
      </c>
    </row>
    <row r="4113" spans="1:5" ht="397" x14ac:dyDescent="0.2">
      <c r="A4113" s="2" t="s">
        <v>3550</v>
      </c>
      <c r="B4113" s="2" t="str">
        <f>HYPERLINK("https://www.fanpage.it/innovazione/tecnologia/il-tuo-prossimo-snack-preferito-potrebbe-essere-creato-dallia-il-caso-oreo/")</f>
        <v>https://www.fanpage.it/innovazione/tecnologia/il-tuo-prossimo-snack-preferito-potrebbe-essere-creato-dallia-il-caso-oreo/</v>
      </c>
      <c r="C4113" s="2" t="s">
        <v>3551</v>
      </c>
      <c r="D4113" s="3">
        <v>45646.310324074067</v>
      </c>
      <c r="E4113" s="2" t="s">
        <v>3552</v>
      </c>
    </row>
    <row r="4114" spans="1:5" ht="56" x14ac:dyDescent="0.2">
      <c r="A4114" s="2" t="s">
        <v>226</v>
      </c>
      <c r="B4114" s="2" t="str">
        <f>HYPERLINK("https://www.spokanepublicradio.org/2024-12-19/who-can-say-its-healthy-the-fda-has-a-new-definition-for-food-labels")</f>
        <v>https://www.spokanepublicradio.org/2024-12-19/who-can-say-its-healthy-the-fda-has-a-new-definition-for-food-labels</v>
      </c>
      <c r="C4114" s="2" t="s">
        <v>1010</v>
      </c>
      <c r="D4114" s="3">
        <v>45646.329131944447</v>
      </c>
      <c r="E4114" s="2" t="s">
        <v>228</v>
      </c>
    </row>
    <row r="4115" spans="1:5" ht="56" x14ac:dyDescent="0.2">
      <c r="A4115" s="2" t="s">
        <v>1810</v>
      </c>
      <c r="B4115" s="2" t="str">
        <f>HYPERLINK("https://www.netcost-security.fr/actualites/238973/votre-prochain-en-cas-prefere-pourrait-etre-cree-par-une-ia-lexemple-doreo/")</f>
        <v>https://www.netcost-security.fr/actualites/238973/votre-prochain-en-cas-prefere-pourrait-etre-cree-par-une-ia-lexemple-doreo/</v>
      </c>
      <c r="C4115" s="2" t="s">
        <v>1811</v>
      </c>
      <c r="D4115" s="3">
        <v>45646.335787037038</v>
      </c>
      <c r="E4115" s="2" t="s">
        <v>1812</v>
      </c>
    </row>
    <row r="4116" spans="1:5" ht="56" x14ac:dyDescent="0.2">
      <c r="A4116" s="2" t="s">
        <v>1551</v>
      </c>
      <c r="B4116" s="2" t="str">
        <f>HYPERLINK("https://www.mprnews.org/story/2024/12/20/npr-fda-healthy-food-labels-diet")</f>
        <v>https://www.mprnews.org/story/2024/12/20/npr-fda-healthy-food-labels-diet</v>
      </c>
      <c r="C4116" s="2" t="s">
        <v>2900</v>
      </c>
      <c r="D4116" s="3">
        <v>45646.367986111109</v>
      </c>
      <c r="E4116" s="2" t="s">
        <v>228</v>
      </c>
    </row>
    <row r="4117" spans="1:5" ht="182" x14ac:dyDescent="0.2">
      <c r="A4117" s="2" t="s">
        <v>2069</v>
      </c>
      <c r="B4117" s="2" t="str">
        <f>HYPERLINK("https://www.sinovision.net/society/202412/00549158.htm")</f>
        <v>https://www.sinovision.net/society/202412/00549158.htm</v>
      </c>
      <c r="C4117" s="2" t="s">
        <v>2031</v>
      </c>
      <c r="D4117" s="3">
        <v>45646.375393518523</v>
      </c>
      <c r="E4117" s="2" t="s">
        <v>2070</v>
      </c>
    </row>
    <row r="4118" spans="1:5" ht="70" x14ac:dyDescent="0.2">
      <c r="A4118" s="2" t="s">
        <v>2681</v>
      </c>
      <c r="B4118" s="2" t="str">
        <f>HYPERLINK("https://childrenshealthdefense.org/defender/bf-health-advocates-sue-fda-remove-phthalates-food/")</f>
        <v>https://childrenshealthdefense.org/defender/bf-health-advocates-sue-fda-remove-phthalates-food/</v>
      </c>
      <c r="C4118" s="2" t="s">
        <v>2505</v>
      </c>
      <c r="D4118" s="3">
        <v>45646.412673611107</v>
      </c>
      <c r="E4118" s="2" t="s">
        <v>2682</v>
      </c>
    </row>
    <row r="4119" spans="1:5" ht="56" x14ac:dyDescent="0.2">
      <c r="A4119" s="2" t="s">
        <v>3008</v>
      </c>
      <c r="B4119" s="2" t="str">
        <f>HYPERLINK("https://www.kqed.org/news/12019205/who-can-say-its-healthy-the-fda-has-a-new-definition-for-food-labels")</f>
        <v>https://www.kqed.org/news/12019205/who-can-say-its-healthy-the-fda-has-a-new-definition-for-food-labels</v>
      </c>
      <c r="C4119" s="2" t="s">
        <v>3009</v>
      </c>
      <c r="D4119" s="3">
        <v>45646.417326388888</v>
      </c>
      <c r="E4119" s="2" t="s">
        <v>228</v>
      </c>
    </row>
    <row r="4120" spans="1:5" ht="98" x14ac:dyDescent="0.2">
      <c r="A4120" s="2" t="s">
        <v>357</v>
      </c>
      <c r="B4120" s="2" t="str">
        <f>HYPERLINK("https://www.aol.com/lifestyle/raw-milk-safe-heres-know-232030098.html")</f>
        <v>https://www.aol.com/lifestyle/raw-milk-safe-heres-know-232030098.html</v>
      </c>
      <c r="C4120" s="2" t="s">
        <v>3592</v>
      </c>
      <c r="D4120" s="3">
        <v>45646.555902777778</v>
      </c>
      <c r="E4120" s="2" t="s">
        <v>1385</v>
      </c>
    </row>
    <row r="4121" spans="1:5" ht="98" x14ac:dyDescent="0.2">
      <c r="A4121" s="2" t="s">
        <v>357</v>
      </c>
      <c r="B4121" s="2" t="str">
        <f>HYPERLINK("https://www.aol.com/raw-milk-safe-heres-know-232030098.html")</f>
        <v>https://www.aol.com/raw-milk-safe-heres-know-232030098.html</v>
      </c>
      <c r="C4121" s="2" t="s">
        <v>3592</v>
      </c>
      <c r="D4121" s="3">
        <v>45646.555902777778</v>
      </c>
      <c r="E4121" s="2" t="s">
        <v>3459</v>
      </c>
    </row>
    <row r="4122" spans="1:5" ht="70" x14ac:dyDescent="0.2">
      <c r="A4122" s="2" t="s">
        <v>357</v>
      </c>
      <c r="B4122" s="2" t="str">
        <f>HYPERLINK("https://www.yahoo.com/lifestyle/raw-milk-safe-heres-know-232030604.html")</f>
        <v>https://www.yahoo.com/lifestyle/raw-milk-safe-heres-know-232030604.html</v>
      </c>
      <c r="C4122" s="2" t="s">
        <v>3726</v>
      </c>
      <c r="D4122" s="3">
        <v>45646.555902777778</v>
      </c>
      <c r="E4122" s="2" t="s">
        <v>3729</v>
      </c>
    </row>
    <row r="4123" spans="1:5" ht="56" x14ac:dyDescent="0.2">
      <c r="A4123" s="2" t="s">
        <v>226</v>
      </c>
      <c r="B4123" s="2" t="str">
        <f>HYPERLINK("https://www.wfae.org/health/2024-12-19/who-can-say-its-healthy-the-fda-has-a-new-definition-for-food-labels")</f>
        <v>https://www.wfae.org/health/2024-12-19/who-can-say-its-healthy-the-fda-has-a-new-definition-for-food-labels</v>
      </c>
      <c r="C4123" s="2" t="s">
        <v>2117</v>
      </c>
      <c r="D4123" s="3">
        <v>45646.632453703707</v>
      </c>
      <c r="E4123" s="2" t="s">
        <v>228</v>
      </c>
    </row>
    <row r="4124" spans="1:5" ht="84" x14ac:dyDescent="0.2">
      <c r="A4124" s="2" t="s">
        <v>1893</v>
      </c>
      <c r="B4124" s="2" t="str">
        <f>HYPERLINK("https://www.foodlog.nl/gespot/2024-12-20/")</f>
        <v>https://www.foodlog.nl/gespot/2024-12-20/</v>
      </c>
      <c r="C4124" s="2" t="s">
        <v>1891</v>
      </c>
      <c r="D4124" s="3">
        <v>45646.744201388887</v>
      </c>
      <c r="E4124" s="2" t="s">
        <v>1894</v>
      </c>
    </row>
    <row r="4125" spans="1:5" ht="98" x14ac:dyDescent="0.2">
      <c r="A4125" s="2" t="s">
        <v>357</v>
      </c>
      <c r="B4125" s="2" t="str">
        <f>HYPERLINK("https://time.com/7203376/is-raw-milk-safe-bird-flu-salmonella/")</f>
        <v>https://time.com/7203376/is-raw-milk-safe-bird-flu-salmonella/</v>
      </c>
      <c r="C4125" s="2" t="s">
        <v>3458</v>
      </c>
      <c r="D4125" s="3">
        <v>45646.767314814817</v>
      </c>
      <c r="E4125" s="2" t="s">
        <v>3459</v>
      </c>
    </row>
    <row r="4126" spans="1:5" ht="98" x14ac:dyDescent="0.2">
      <c r="A4126" s="2" t="s">
        <v>4173</v>
      </c>
      <c r="B4126" s="2" t="str">
        <f>HYPERLINK("https://businessandamerica.com/is-raw-milk-safe-heres-what-to-know/")</f>
        <v>https://businessandamerica.com/is-raw-milk-safe-heres-what-to-know/</v>
      </c>
      <c r="C4126" s="2" t="s">
        <v>3854</v>
      </c>
      <c r="D4126" s="3">
        <v>45646.957013888888</v>
      </c>
      <c r="E4126" s="2" t="s">
        <v>3459</v>
      </c>
    </row>
    <row r="4127" spans="1:5" ht="70" x14ac:dyDescent="0.2">
      <c r="A4127" s="2" t="s">
        <v>357</v>
      </c>
      <c r="B4127" s="2" t="str">
        <f>HYPERLINK("https://www.exclusiveglobalnews.com/is-raw-milk-safe-heres-what-to-know/")</f>
        <v>https://www.exclusiveglobalnews.com/is-raw-milk-safe-heres-what-to-know/</v>
      </c>
      <c r="C4127" s="2" t="s">
        <v>358</v>
      </c>
      <c r="D4127" s="3">
        <v>45647.14371527778</v>
      </c>
      <c r="E4127" s="2" t="s">
        <v>359</v>
      </c>
    </row>
    <row r="4128" spans="1:5" ht="84" x14ac:dyDescent="0.2">
      <c r="A4128" s="2" t="s">
        <v>762</v>
      </c>
      <c r="B4128" s="2" t="str">
        <f>HYPERLINK("https://espanol.news/es-segura-la-leche-cruda-esto-es-lo-que-debe-saber/")</f>
        <v>https://espanol.news/es-segura-la-leche-cruda-esto-es-lo-que-debe-saber/</v>
      </c>
      <c r="C4128" s="2" t="s">
        <v>747</v>
      </c>
      <c r="D4128" s="3">
        <v>45647.38853009259</v>
      </c>
      <c r="E4128" s="2" t="s">
        <v>763</v>
      </c>
    </row>
    <row r="4129" spans="1:5" ht="70" x14ac:dyDescent="0.2">
      <c r="A4129" s="2" t="s">
        <v>292</v>
      </c>
      <c r="B4129" s="2" t="str">
        <f>HYPERLINK("https://www.cherokeephoenix.org/health/more-beans-and-less-red-meat-nutrition-experts-weigh-in-on-us-dietary-guidelines/article_2d9a6292-bf24-11ef-8bca-7fcabce06eae.html")</f>
        <v>https://www.cherokeephoenix.org/health/more-beans-and-less-red-meat-nutrition-experts-weigh-in-on-us-dietary-guidelines/article_2d9a6292-bf24-11ef-8bca-7fcabce06eae.html</v>
      </c>
      <c r="C4129" s="2" t="s">
        <v>1376</v>
      </c>
      <c r="D4129" s="3">
        <v>45647.551793981482</v>
      </c>
      <c r="E4129" s="2" t="s">
        <v>38</v>
      </c>
    </row>
    <row r="4130" spans="1:5" ht="126" x14ac:dyDescent="0.2">
      <c r="A4130" s="2" t="s">
        <v>2793</v>
      </c>
      <c r="B4130" s="2" t="str">
        <f>HYPERLINK("https://news.mingpao.com/pns/%E7%B6%93%E6%BF%9F/article/20241222/s00004/1734800073579/%E9%9B%B6%E9%A3%9F%E5%B7%A8%E9%A0%AD%E7%94%A8ai%E7%A0%94%E6%96%B0%E7%94%A2%E5%93%81-%E5%B0%8B%E6%9C%80%E4%BD%B3%E5%8F%A3%E5%91%B3")</f>
        <v>https://news.mingpao.com/pns/%E7%B6%93%E6%BF%9F/article/20241222/s00004/1734800073579/%E9%9B%B6%E9%A3%9F%E5%B7%A8%E9%A0%AD%E7%94%A8ai%E7%A0%94%E6%96%B0%E7%94%A2%E5%93%81-%E5%B0%8B%E6%9C%80%E4%BD%B3%E5%8F%A3%E5%91%B3</v>
      </c>
      <c r="C4130" s="2" t="s">
        <v>2794</v>
      </c>
      <c r="D4130" s="3">
        <v>45647.647604166668</v>
      </c>
      <c r="E4130" s="2" t="s">
        <v>2795</v>
      </c>
    </row>
    <row r="4131" spans="1:5" ht="98" x14ac:dyDescent="0.2">
      <c r="A4131" s="2" t="s">
        <v>4173</v>
      </c>
      <c r="B4131" s="2" t="str">
        <f>HYPERLINK("https://dairynews7x7.com/is-raw-milk-safe-heres-what-to-know/")</f>
        <v>https://dairynews7x7.com/is-raw-milk-safe-heres-what-to-know/</v>
      </c>
      <c r="C4131" s="2" t="s">
        <v>4222</v>
      </c>
      <c r="D4131" s="3">
        <v>45647.66101851852</v>
      </c>
      <c r="E4131" s="2" t="s">
        <v>3459</v>
      </c>
    </row>
    <row r="4132" spans="1:5" ht="56" x14ac:dyDescent="0.2">
      <c r="A4132" s="2" t="s">
        <v>122</v>
      </c>
      <c r="B4132" s="2" t="str">
        <f>HYPERLINK("http://1370wfea.com/news/030030-more-beans-and-less-red-meat-nutritionists-weigh-in-on-us-dietary-guidelines/")</f>
        <v>http://1370wfea.com/news/030030-more-beans-and-less-red-meat-nutritionists-weigh-in-on-us-dietary-guidelines/</v>
      </c>
      <c r="C4132" s="2" t="s">
        <v>652</v>
      </c>
      <c r="D4132" s="3">
        <v>45648.750173611108</v>
      </c>
      <c r="E4132" s="2" t="s">
        <v>38</v>
      </c>
    </row>
    <row r="4133" spans="1:5" ht="56" x14ac:dyDescent="0.2">
      <c r="A4133" s="2" t="s">
        <v>3059</v>
      </c>
      <c r="B4133" s="2" t="str">
        <f>HYPERLINK("https://evrimagaci.org/tpg/fda-redefines-healthy-food-labeling-standards-107068")</f>
        <v>https://evrimagaci.org/tpg/fda-redefines-healthy-food-labeling-standards-107068</v>
      </c>
      <c r="C4133" s="2" t="s">
        <v>3060</v>
      </c>
      <c r="D4133" s="3">
        <v>45648.791666666657</v>
      </c>
      <c r="E4133" s="2" t="s">
        <v>3061</v>
      </c>
    </row>
    <row r="4134" spans="1:5" ht="42" x14ac:dyDescent="0.2">
      <c r="A4134" s="2" t="s">
        <v>3414</v>
      </c>
      <c r="B4134" s="2" t="str">
        <f>HYPERLINK("https://www.medscape.com/viewarticle/fda-updates-healthy-claim-foods-use-voluntary-2024a1000ozs")</f>
        <v>https://www.medscape.com/viewarticle/fda-updates-healthy-claim-foods-use-voluntary-2024a1000ozs</v>
      </c>
      <c r="C4134" s="2" t="s">
        <v>3415</v>
      </c>
      <c r="D4134" s="3">
        <v>45649.397164351853</v>
      </c>
      <c r="E4134" s="2" t="s">
        <v>3416</v>
      </c>
    </row>
    <row r="4135" spans="1:5" ht="42" x14ac:dyDescent="0.2">
      <c r="A4135" s="2" t="s">
        <v>3414</v>
      </c>
      <c r="B4135" s="2" t="str">
        <f>HYPERLINK("https://www.newshealth.biz/health-news/fda-updates-healthy-claim-for-foods-but-use-is-voluntary/")</f>
        <v>https://www.newshealth.biz/health-news/fda-updates-healthy-claim-for-foods-but-use-is-voluntary/</v>
      </c>
      <c r="C4135" s="2" t="s">
        <v>3968</v>
      </c>
      <c r="D4135" s="3">
        <v>45649.406898148147</v>
      </c>
      <c r="E4135" s="2" t="s">
        <v>3416</v>
      </c>
    </row>
    <row r="4136" spans="1:5" ht="42" x14ac:dyDescent="0.2">
      <c r="A4136" s="2" t="s">
        <v>3211</v>
      </c>
      <c r="B4136" s="2" t="str">
        <f>HYPERLINK("https://learningenglish.voanews.com/a/new-us-food-guidelines-eat-less-meat-more-beans-/7899072.html")</f>
        <v>https://learningenglish.voanews.com/a/new-us-food-guidelines-eat-less-meat-more-beans-/7899072.html</v>
      </c>
      <c r="C4136" s="2" t="s">
        <v>3210</v>
      </c>
      <c r="D4136" s="3">
        <v>45649.503472222219</v>
      </c>
      <c r="E4136" s="2" t="s">
        <v>3212</v>
      </c>
    </row>
    <row r="4137" spans="1:5" ht="84" x14ac:dyDescent="0.2">
      <c r="A4137" s="2" t="s">
        <v>3584</v>
      </c>
      <c r="B4137" s="2" t="str">
        <f>HYPERLINK("https://www.ouest-france.fr/leditiondusoir/2024-12-23/des-americains-boivent-du-lait-cru-pour-etre-plus-virils-et-c-est-un-danger-pour-leur-sante-ef3d59cb-0df5-408a-a916-93a9666e4bfb")</f>
        <v>https://www.ouest-france.fr/leditiondusoir/2024-12-23/des-americains-boivent-du-lait-cru-pour-etre-plus-virils-et-c-est-un-danger-pour-leur-sante-ef3d59cb-0df5-408a-a916-93a9666e4bfb</v>
      </c>
      <c r="C4137" s="2" t="s">
        <v>3585</v>
      </c>
      <c r="D4137" s="3">
        <v>45649.620856481481</v>
      </c>
      <c r="E4137" s="2" t="s">
        <v>3586</v>
      </c>
    </row>
    <row r="4138" spans="1:5" ht="56" x14ac:dyDescent="0.2">
      <c r="A4138" s="2" t="s">
        <v>4174</v>
      </c>
      <c r="B4138" s="2" t="str">
        <f>HYPERLINK("https://www.shango.media/ouest-france-des-americains-boivent-du-lait-cru-pour-etre-plus-virils-et-cest-un-danger-pour-leur-sante-8956468")</f>
        <v>https://www.shango.media/ouest-france-des-americains-boivent-du-lait-cru-pour-etre-plus-virils-et-cest-un-danger-pour-leur-sante-8956468</v>
      </c>
      <c r="C4138" s="2" t="s">
        <v>3956</v>
      </c>
      <c r="D4138" s="3">
        <v>45649.634108796286</v>
      </c>
      <c r="E4138" s="2" t="s">
        <v>4175</v>
      </c>
    </row>
    <row r="4139" spans="1:5" ht="70" x14ac:dyDescent="0.2">
      <c r="A4139" s="2" t="s">
        <v>375</v>
      </c>
      <c r="B4139" s="2" t="str">
        <f>HYPERLINK("https://www.phillytrib.com/news/health/a-lowly-vegetable-rises-to-stardom-in-newly-released-dietary-advisory-report/article_4750064e-feba-5498-95aa-b75c6fdb313d.html")</f>
        <v>https://www.phillytrib.com/news/health/a-lowly-vegetable-rises-to-stardom-in-newly-released-dietary-advisory-report/article_4750064e-feba-5498-95aa-b75c6fdb313d.html</v>
      </c>
      <c r="C4139" s="2" t="s">
        <v>2047</v>
      </c>
      <c r="D4139" s="3">
        <v>45649.791666666657</v>
      </c>
      <c r="E4139" s="2" t="s">
        <v>376</v>
      </c>
    </row>
    <row r="4140" spans="1:5" ht="98" x14ac:dyDescent="0.2">
      <c r="A4140" s="2" t="s">
        <v>3086</v>
      </c>
      <c r="B4140" s="2" t="str">
        <f>HYPERLINK("https://cnnportugal.iol.pt/alimentos-ultraprocessados/ultraprocessados/os-alimentos-ultraprocessados-compoem-a-maior-parte-da-dieta-americana-mas-os-eua-nao-tem-uma-politica-para-eles/20241225/675d84cbd34e94b82908a863")</f>
        <v>https://cnnportugal.iol.pt/alimentos-ultraprocessados/ultraprocessados/os-alimentos-ultraprocessados-compoem-a-maior-parte-da-dieta-americana-mas-os-eua-nao-tem-uma-politica-para-eles/20241225/675d84cbd34e94b82908a863</v>
      </c>
      <c r="C4140" s="2" t="s">
        <v>3087</v>
      </c>
      <c r="D4140" s="3">
        <v>45651.252199074072</v>
      </c>
      <c r="E4140" s="2" t="s">
        <v>3088</v>
      </c>
    </row>
    <row r="4141" spans="1:5" ht="98" x14ac:dyDescent="0.2">
      <c r="A4141" s="2" t="s">
        <v>357</v>
      </c>
      <c r="B4141" s="2" t="str">
        <f>HYPERLINK("https://news.knowledia.com/US/en/articles/is-raw-milk-safe-here-s-what-to-know-53804aaf6a489a1b3dbe9ecacd34c9e23ba10e79")</f>
        <v>https://news.knowledia.com/US/en/articles/is-raw-milk-safe-here-s-what-to-know-53804aaf6a489a1b3dbe9ecacd34c9e23ba10e79</v>
      </c>
      <c r="C4141" s="2" t="s">
        <v>1384</v>
      </c>
      <c r="D4141" s="3">
        <v>45651.280624999999</v>
      </c>
      <c r="E4141" s="2" t="s">
        <v>1385</v>
      </c>
    </row>
    <row r="4142" spans="1:5" ht="84" x14ac:dyDescent="0.2">
      <c r="A4142" s="2" t="s">
        <v>308</v>
      </c>
      <c r="B4142" s="2" t="str">
        <f>HYPERLINK("https://germanic.news/ist-rohmilch-sicher-hier-erfahren-sie-was-sie-wissen-sollten/")</f>
        <v>https://germanic.news/ist-rohmilch-sicher-hier-erfahren-sie-was-sie-wissen-sollten/</v>
      </c>
      <c r="C4142" s="2" t="s">
        <v>243</v>
      </c>
      <c r="D4142" s="3">
        <v>45651.720046296286</v>
      </c>
      <c r="E4142" s="2" t="s">
        <v>309</v>
      </c>
    </row>
    <row r="4143" spans="1:5" ht="84" x14ac:dyDescent="0.2">
      <c r="A4143" s="2" t="s">
        <v>3439</v>
      </c>
      <c r="B4143" s="2" t="str">
        <f>HYPERLINK("https://udn.com/news/story/6904/8441384")</f>
        <v>https://udn.com/news/story/6904/8441384</v>
      </c>
      <c r="C4143" s="2" t="s">
        <v>3440</v>
      </c>
      <c r="D4143" s="3">
        <v>45651.928449074083</v>
      </c>
      <c r="E4143" s="2" t="s">
        <v>3441</v>
      </c>
    </row>
    <row r="4144" spans="1:5" ht="126" x14ac:dyDescent="0.2">
      <c r="A4144" s="2" t="s">
        <v>4196</v>
      </c>
      <c r="B4144" s="2" t="str">
        <f>HYPERLINK("https://www.bg3.co/a/hao-du-zhou-bao-mei-jiang-geng-xin-ying-yang-zhi-nan-jian-yi-she-qu-zhi-wu-xing-dan-bai-zhi-duo-chi-dou-lei-shao-chi-rou.html")</f>
        <v>https://www.bg3.co/a/hao-du-zhou-bao-mei-jiang-geng-xin-ying-yang-zhi-nan-jian-yi-she-qu-zhi-wu-xing-dan-bai-zhi-duo-chi-dou-lei-shao-chi-rou.html</v>
      </c>
      <c r="C4144" s="2" t="s">
        <v>4197</v>
      </c>
      <c r="D4144" s="3">
        <v>45651.977326388893</v>
      </c>
      <c r="E4144" s="2" t="s">
        <v>4198</v>
      </c>
    </row>
    <row r="4145" spans="1:5" ht="140" x14ac:dyDescent="0.2">
      <c r="A4145" s="2" t="s">
        <v>3248</v>
      </c>
      <c r="B4145" s="2" t="str">
        <f>HYPERLINK("https://super.abril.com.br/saude/voce-deve-comer-2-000-calorias-por-dia-conheca-a-historia-por-tras-do-numero")</f>
        <v>https://super.abril.com.br/saude/voce-deve-comer-2-000-calorias-por-dia-conheca-a-historia-por-tras-do-numero</v>
      </c>
      <c r="C4145" s="2" t="s">
        <v>3249</v>
      </c>
      <c r="D4145" s="3">
        <v>45652.125104166669</v>
      </c>
      <c r="E4145" s="2" t="s">
        <v>3250</v>
      </c>
    </row>
    <row r="4146" spans="1:5" ht="42" x14ac:dyDescent="0.2">
      <c r="A4146" s="2" t="s">
        <v>1890</v>
      </c>
      <c r="B4146" s="2" t="str">
        <f>HYPERLINK("https://www.foodlog.nl/artikel/kritiek-op-modellen-en-oceanen-die-niet-doen-wat-modellen-voorspelden/")</f>
        <v>https://www.foodlog.nl/artikel/kritiek-op-modellen-en-oceanen-die-niet-doen-wat-modellen-voorspelden/</v>
      </c>
      <c r="C4146" s="2" t="s">
        <v>1891</v>
      </c>
      <c r="D4146" s="3">
        <v>45653.041898148149</v>
      </c>
      <c r="E4146" s="2" t="s">
        <v>1892</v>
      </c>
    </row>
    <row r="4147" spans="1:5" ht="84" x14ac:dyDescent="0.2">
      <c r="A4147" s="2" t="s">
        <v>4185</v>
      </c>
      <c r="B4147" s="2" t="str">
        <f>HYPERLINK("https://www.zdrowie.co.pl/jemy-go-chocby-40-kg-rocznie-a-to-glowny-powod-nowotworow-wsrod-polakow-25798481.html")</f>
        <v>https://www.zdrowie.co.pl/jemy-go-chocby-40-kg-rocznie-a-to-glowny-powod-nowotworow-wsrod-polakow-25798481.html</v>
      </c>
      <c r="C4147" s="2" t="s">
        <v>4186</v>
      </c>
      <c r="D4147" s="3">
        <v>45653.496921296297</v>
      </c>
      <c r="E4147" s="2" t="s">
        <v>4187</v>
      </c>
    </row>
    <row r="4148" spans="1:5" ht="84" x14ac:dyDescent="0.2">
      <c r="A4148" s="2" t="s">
        <v>3182</v>
      </c>
      <c r="B4148" s="2" t="str">
        <f>HYPERLINK("https://natemat.pl/583073,cukier-glownym-powodem-nowotworow-u-polakow-pochlaniamy-go-nieswiadomie")</f>
        <v>https://natemat.pl/583073,cukier-glownym-powodem-nowotworow-u-polakow-pochlaniamy-go-nieswiadomie</v>
      </c>
      <c r="C4148" s="2" t="s">
        <v>3183</v>
      </c>
      <c r="D4148" s="3">
        <v>45653.49790509259</v>
      </c>
      <c r="E4148" s="2" t="s">
        <v>3184</v>
      </c>
    </row>
    <row r="4149" spans="1:5" ht="42" x14ac:dyDescent="0.2">
      <c r="A4149" s="2" t="s">
        <v>1023</v>
      </c>
      <c r="B4149" s="2" t="str">
        <f>HYPERLINK("https://www.communityvoiceks.com/2024/12/27/beans-new-dietary-advisory-placement/")</f>
        <v>https://www.communityvoiceks.com/2024/12/27/beans-new-dietary-advisory-placement/</v>
      </c>
      <c r="C4149" s="2" t="s">
        <v>1024</v>
      </c>
      <c r="D4149" s="3">
        <v>45653.629143518519</v>
      </c>
      <c r="E4149" s="2" t="s">
        <v>376</v>
      </c>
    </row>
    <row r="4150" spans="1:5" ht="182" x14ac:dyDescent="0.2">
      <c r="A4150" s="2" t="s">
        <v>3248</v>
      </c>
      <c r="B4150" s="2" t="str">
        <f>HYPERLINK("https://www.saudevitalidade.com/voce-deve-comer-2-000-calorias-por-dia-conheca-a-historia-por-tras-do-numero/")</f>
        <v>https://www.saudevitalidade.com/voce-deve-comer-2-000-calorias-por-dia-conheca-a-historia-por-tras-do-numero/</v>
      </c>
      <c r="C4150" s="2" t="s">
        <v>4183</v>
      </c>
      <c r="D4150" s="3">
        <v>45653.708993055552</v>
      </c>
      <c r="E4150" s="2" t="s">
        <v>4184</v>
      </c>
    </row>
    <row r="4151" spans="1:5" ht="56" x14ac:dyDescent="0.2">
      <c r="A4151" s="2" t="s">
        <v>3528</v>
      </c>
      <c r="B4151" s="2" t="str">
        <f>HYPERLINK("https://www.yahoo.com/news/rfk-early-opportunity-influence-americans-150000806.html")</f>
        <v>https://www.yahoo.com/news/rfk-early-opportunity-influence-americans-150000806.html</v>
      </c>
      <c r="C4151" s="2" t="s">
        <v>3728</v>
      </c>
      <c r="D4151" s="3">
        <v>45654.208333333343</v>
      </c>
      <c r="E4151" s="2" t="s">
        <v>3529</v>
      </c>
    </row>
    <row r="4152" spans="1:5" ht="56" x14ac:dyDescent="0.2">
      <c r="A4152" s="2" t="s">
        <v>3528</v>
      </c>
      <c r="B4152" s="2" t="str">
        <f>HYPERLINK("https://www.politico.com/news/2024/12/28/rfk-jr-hhs-american-diet-00195876")</f>
        <v>https://www.politico.com/news/2024/12/28/rfk-jr-hhs-american-diet-00195876</v>
      </c>
      <c r="C4152" s="2" t="s">
        <v>3526</v>
      </c>
      <c r="D4152" s="3">
        <v>45654.426030092603</v>
      </c>
      <c r="E4152" s="2" t="s">
        <v>3529</v>
      </c>
    </row>
    <row r="4153" spans="1:5" ht="70" x14ac:dyDescent="0.2">
      <c r="A4153" s="2" t="s">
        <v>760</v>
      </c>
      <c r="B4153" s="2" t="str">
        <f>HYPERLINK("https://espanol.news/rfk-tendra-una-temprana-oportunidad-de-influir-en-lo-que-comen-los-estadounidenses/")</f>
        <v>https://espanol.news/rfk-tendra-una-temprana-oportunidad-de-influir-en-lo-que-comen-los-estadounidenses/</v>
      </c>
      <c r="C4153" s="2" t="s">
        <v>747</v>
      </c>
      <c r="D4153" s="3">
        <v>45654.545347222222</v>
      </c>
      <c r="E4153" s="2" t="s">
        <v>761</v>
      </c>
    </row>
    <row r="4154" spans="1:5" ht="56" x14ac:dyDescent="0.2">
      <c r="A4154" s="2" t="s">
        <v>2061</v>
      </c>
      <c r="B4154" s="2" t="str">
        <f>HYPERLINK("https://www.zdravotnickydenik.cz/2024/12/z-piti-syroveho-mleka-je-v-usa-navzdory-rizikum-velke-hnuti-podporuje-ho-i-robert-f-kennedy/")</f>
        <v>https://www.zdravotnickydenik.cz/2024/12/z-piti-syroveho-mleka-je-v-usa-navzdory-rizikum-velke-hnuti-podporuje-ho-i-robert-f-kennedy/</v>
      </c>
      <c r="C4154" s="2" t="s">
        <v>2062</v>
      </c>
      <c r="D4154" s="3">
        <v>45654.833333333343</v>
      </c>
      <c r="E4154" s="2" t="s">
        <v>2063</v>
      </c>
    </row>
    <row r="4155" spans="1:5" ht="56" x14ac:dyDescent="0.2">
      <c r="A4155" s="2" t="s">
        <v>4098</v>
      </c>
      <c r="B4155" s="2" t="str">
        <f>HYPERLINK("https://ekonomickydenik.cz/z-piti-syroveho-mleka-je-v-usa-navzdory-rizikum-velke-hnuti-podporuje-ho-i-robert-f-kennedy/")</f>
        <v>https://ekonomickydenik.cz/z-piti-syroveho-mleka-je-v-usa-navzdory-rizikum-velke-hnuti-podporuje-ho-i-robert-f-kennedy/</v>
      </c>
      <c r="C4155" s="2" t="s">
        <v>4099</v>
      </c>
      <c r="D4155" s="3">
        <v>45654.937037037038</v>
      </c>
      <c r="E4155" s="2" t="s">
        <v>4100</v>
      </c>
    </row>
    <row r="4156" spans="1:5" ht="56" x14ac:dyDescent="0.2">
      <c r="A4156" s="2" t="s">
        <v>4134</v>
      </c>
      <c r="B4156" s="2" t="str">
        <f>HYPERLINK("https://wherethefoodcomesfrom.com/big-food-faces-first-of-its-kind-lawsuit-over-addictive-ultra-processed-foods-linked-to-chronic-diseases/")</f>
        <v>https://wherethefoodcomesfrom.com/big-food-faces-first-of-its-kind-lawsuit-over-addictive-ultra-processed-foods-linked-to-chronic-diseases/</v>
      </c>
      <c r="C4156" s="2" t="s">
        <v>3824</v>
      </c>
      <c r="D4156" s="3">
        <v>45655.928888888891</v>
      </c>
      <c r="E4156" s="2" t="s">
        <v>4135</v>
      </c>
    </row>
    <row r="4157" spans="1:5" ht="56" x14ac:dyDescent="0.2">
      <c r="A4157" s="2" t="s">
        <v>122</v>
      </c>
      <c r="B4157" s="2" t="str">
        <f>HYPERLINK("https://www.meritstreetmedia.com/news/more-beans-and-less-red-meat-nutritionists-weigh-in-on-us-dietary-guidelines")</f>
        <v>https://www.meritstreetmedia.com/news/more-beans-and-less-red-meat-nutritionists-weigh-in-on-us-dietary-guidelines</v>
      </c>
      <c r="C4157" s="2" t="s">
        <v>1832</v>
      </c>
      <c r="D4157" s="3">
        <v>45656.166666666657</v>
      </c>
      <c r="E4157" s="2" t="s">
        <v>38</v>
      </c>
    </row>
    <row r="4158" spans="1:5" ht="42" x14ac:dyDescent="0.2">
      <c r="A4158" s="2" t="s">
        <v>1778</v>
      </c>
      <c r="B4158" s="2" t="str">
        <f>HYPERLINK("https://www.tdtnews.com/life/health_and_fitness/article_29a1e570-c6ae-11ef-a9e0-374c2f733af1.html")</f>
        <v>https://www.tdtnews.com/life/health_and_fitness/article_29a1e570-c6ae-11ef-a9e0-374c2f733af1.html</v>
      </c>
      <c r="C4158" s="2" t="s">
        <v>1584</v>
      </c>
      <c r="D4158" s="3">
        <v>45657.270624999997</v>
      </c>
      <c r="E4158" s="2" t="s">
        <v>38</v>
      </c>
    </row>
  </sheetData>
  <sortState xmlns:xlrd2="http://schemas.microsoft.com/office/spreadsheetml/2017/richdata2" ref="A2:E4158">
    <sortCondition ref="D1:D4158"/>
  </sortState>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Articles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Microsoft Office User</cp:lastModifiedBy>
  <dcterms:created xsi:type="dcterms:W3CDTF">2025-01-02T16:33:21Z</dcterms:created>
  <dcterms:modified xsi:type="dcterms:W3CDTF">2025-01-02T22:03:35Z</dcterms:modified>
</cp:coreProperties>
</file>